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" windowWidth="16536" windowHeight="7488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3" i="1"/>
  <c r="F33"/>
  <c r="E33"/>
  <c r="D33"/>
  <c r="H35"/>
  <c r="H34"/>
  <c r="F26"/>
  <c r="E26"/>
  <c r="D26"/>
  <c r="E24" i="3"/>
  <c r="F23"/>
  <c r="F5" i="1"/>
  <c r="E5"/>
  <c r="D5"/>
  <c r="H33" l="1"/>
  <c r="F37" i="3"/>
  <c r="F36"/>
  <c r="F35"/>
  <c r="F34"/>
  <c r="E30"/>
  <c r="F29"/>
  <c r="E29"/>
  <c r="F21"/>
  <c r="F28" l="1"/>
  <c r="F27"/>
  <c r="F26"/>
  <c r="F25"/>
  <c r="F24"/>
  <c r="F30" s="1"/>
  <c r="F22"/>
  <c r="F20"/>
  <c r="F19"/>
  <c r="F18"/>
  <c r="F17"/>
  <c r="F16"/>
  <c r="F15"/>
  <c r="F14"/>
  <c r="F13"/>
  <c r="F12"/>
  <c r="F11"/>
  <c r="F10"/>
  <c r="F9"/>
  <c r="F8"/>
  <c r="F7"/>
  <c r="F5"/>
  <c r="E60" i="2" l="1"/>
  <c r="F32"/>
  <c r="G27" i="1"/>
  <c r="G9"/>
  <c r="G26" s="1"/>
  <c r="G7"/>
  <c r="G5" s="1"/>
  <c r="F60" i="2"/>
  <c r="E43"/>
  <c r="E42"/>
  <c r="E55" s="1"/>
  <c r="E57" s="1"/>
  <c r="E45"/>
  <c r="E46"/>
  <c r="E27"/>
  <c r="E34" s="1"/>
  <c r="D27"/>
  <c r="F26"/>
  <c r="F14"/>
  <c r="F13"/>
  <c r="F12"/>
  <c r="F27" i="1" l="1"/>
  <c r="F30" i="2"/>
  <c r="D29" l="1"/>
  <c r="D28"/>
  <c r="D31"/>
  <c r="D39"/>
  <c r="D40"/>
  <c r="D38"/>
  <c r="D42"/>
  <c r="D51"/>
  <c r="D46"/>
  <c r="D45"/>
  <c r="D43"/>
  <c r="D44"/>
  <c r="D52"/>
  <c r="D34" l="1"/>
  <c r="D55"/>
  <c r="D57" s="1"/>
  <c r="F56"/>
  <c r="F50"/>
  <c r="F49"/>
  <c r="F48"/>
  <c r="F47"/>
  <c r="F41"/>
  <c r="F37"/>
  <c r="F36"/>
  <c r="F29"/>
  <c r="F28"/>
  <c r="F25"/>
  <c r="F24"/>
  <c r="F23"/>
  <c r="F22"/>
  <c r="F20"/>
  <c r="F19"/>
  <c r="F18"/>
  <c r="F11"/>
  <c r="F10"/>
  <c r="F9"/>
  <c r="F8"/>
  <c r="F7"/>
  <c r="H41" i="1"/>
  <c r="H40"/>
  <c r="H39"/>
  <c r="H37"/>
  <c r="H32"/>
  <c r="H31"/>
  <c r="H30"/>
  <c r="H29"/>
  <c r="H28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7"/>
  <c r="H6"/>
  <c r="E38"/>
  <c r="G38"/>
  <c r="G42" s="1"/>
  <c r="F38"/>
  <c r="D38"/>
  <c r="F36"/>
  <c r="F42" s="1"/>
  <c r="E36"/>
  <c r="E27"/>
  <c r="D27"/>
  <c r="C21" i="2"/>
  <c r="F21" s="1"/>
  <c r="B27"/>
  <c r="E42" i="1" l="1"/>
  <c r="H36"/>
  <c r="H27"/>
  <c r="D42"/>
  <c r="H5"/>
  <c r="H38"/>
  <c r="C46" i="2"/>
  <c r="C52"/>
  <c r="F52" s="1"/>
  <c r="C53"/>
  <c r="F53" s="1"/>
  <c r="C40"/>
  <c r="C42"/>
  <c r="C39"/>
  <c r="F39" s="1"/>
  <c r="C51"/>
  <c r="F51" s="1"/>
  <c r="C45"/>
  <c r="C43"/>
  <c r="C27"/>
  <c r="F27" s="1"/>
  <c r="H42" i="1" l="1"/>
  <c r="C55" i="2"/>
  <c r="C57" s="1"/>
  <c r="C33"/>
  <c r="F33" s="1"/>
  <c r="C31"/>
  <c r="B38"/>
  <c r="F38" s="1"/>
  <c r="B40"/>
  <c r="F40" s="1"/>
  <c r="B44"/>
  <c r="F44" s="1"/>
  <c r="B43"/>
  <c r="F43" s="1"/>
  <c r="B45"/>
  <c r="F45" s="1"/>
  <c r="B42"/>
  <c r="F42" s="1"/>
  <c r="B46"/>
  <c r="F46" s="1"/>
  <c r="B31"/>
  <c r="F31" s="1"/>
  <c r="B16"/>
  <c r="B15"/>
  <c r="F5"/>
  <c r="C34" l="1"/>
  <c r="B55"/>
  <c r="B34"/>
  <c r="B59" l="1"/>
  <c r="C15" s="1"/>
  <c r="F34"/>
  <c r="B57"/>
  <c r="F55"/>
  <c r="C59"/>
  <c r="D15" s="1"/>
  <c r="B62" l="1"/>
  <c r="C16" s="1"/>
  <c r="F57"/>
  <c r="D59"/>
  <c r="E15" s="1"/>
  <c r="F15" l="1"/>
  <c r="E59"/>
  <c r="C62"/>
  <c r="D16" s="1"/>
  <c r="D62" s="1"/>
  <c r="E16" s="1"/>
  <c r="E62" s="1"/>
  <c r="F62" s="1"/>
  <c r="E61" l="1"/>
  <c r="F61" s="1"/>
  <c r="F63" s="1"/>
  <c r="F59"/>
  <c r="F16"/>
</calcChain>
</file>

<file path=xl/sharedStrings.xml><?xml version="1.0" encoding="utf-8"?>
<sst xmlns="http://schemas.openxmlformats.org/spreadsheetml/2006/main" count="258" uniqueCount="188">
  <si>
    <t>Канцелярские расходы</t>
  </si>
  <si>
    <t>Юридические услуги</t>
  </si>
  <si>
    <t>Техническое обслуживание домофонов</t>
  </si>
  <si>
    <t>Замена кабелей, счетчиков в системе электроснабжения</t>
  </si>
  <si>
    <t>Проездные по служебным делам</t>
  </si>
  <si>
    <t>№ п/п</t>
  </si>
  <si>
    <t>год</t>
  </si>
  <si>
    <t>Председатель ТСЖ ________________________/Солодчиков Н.С./</t>
  </si>
  <si>
    <t>Еденица измерения</t>
  </si>
  <si>
    <t>2 квартал</t>
  </si>
  <si>
    <t>3 квартал</t>
  </si>
  <si>
    <t>наименование статей</t>
  </si>
  <si>
    <t>1.1</t>
  </si>
  <si>
    <t>1.2</t>
  </si>
  <si>
    <t>1.3</t>
  </si>
  <si>
    <t>1.4</t>
  </si>
  <si>
    <t>1.5</t>
  </si>
  <si>
    <t>1.6</t>
  </si>
  <si>
    <t>1.7</t>
  </si>
  <si>
    <t>2.</t>
  </si>
  <si>
    <t>4.</t>
  </si>
  <si>
    <t>РАСХОДЫ:</t>
  </si>
  <si>
    <t>Оплата труда</t>
  </si>
  <si>
    <t>Содержание оргтехники</t>
  </si>
  <si>
    <t>Услуги связи (Ростелеком)</t>
  </si>
  <si>
    <t>Услуги связи интернет (Подряд)</t>
  </si>
  <si>
    <t>1.8</t>
  </si>
  <si>
    <t>Управление,  всего:</t>
  </si>
  <si>
    <t>1.9</t>
  </si>
  <si>
    <t>Материальные расходы (моющие ср-ва, хозинвентарь)</t>
  </si>
  <si>
    <t>Освещение мест общего пользования</t>
  </si>
  <si>
    <t>Дезинсекция и дератизация</t>
  </si>
  <si>
    <t>Пожарная безопасность</t>
  </si>
  <si>
    <t>Благоустройство придомовой территории</t>
  </si>
  <si>
    <t>Техническое обслуживание лифтов</t>
  </si>
  <si>
    <t>2.8</t>
  </si>
  <si>
    <t>2.9</t>
  </si>
  <si>
    <t>Техническое обслуживание приборов учета</t>
  </si>
  <si>
    <t>Промывка и оприсовка отопительной системы</t>
  </si>
  <si>
    <t>2.3.2</t>
  </si>
  <si>
    <t>Текущий ремонт, всего</t>
  </si>
  <si>
    <t>3</t>
  </si>
  <si>
    <t>3.1</t>
  </si>
  <si>
    <t>Ремонт трубопроводов, систем отопления</t>
  </si>
  <si>
    <t>Ремонт подъездов</t>
  </si>
  <si>
    <t>3.2</t>
  </si>
  <si>
    <t>3.3</t>
  </si>
  <si>
    <t>3.4</t>
  </si>
  <si>
    <t>1квартал</t>
  </si>
  <si>
    <t>Капитальный ремонт всего:</t>
  </si>
  <si>
    <t>3.5</t>
  </si>
  <si>
    <t>Текущий (точечный) ремонт крыши</t>
  </si>
  <si>
    <t>4.1</t>
  </si>
  <si>
    <t>Установка автономной системы отопления</t>
  </si>
  <si>
    <t>5.</t>
  </si>
  <si>
    <t>Коммунальные услуги всего:</t>
  </si>
  <si>
    <t>5.1</t>
  </si>
  <si>
    <t>Теплоснабжение</t>
  </si>
  <si>
    <t>Водоснабжение и водоотведение</t>
  </si>
  <si>
    <t>Энергоснабжение</t>
  </si>
  <si>
    <t>6.</t>
  </si>
  <si>
    <t>ИТОГО РАСХОДОВ:</t>
  </si>
  <si>
    <t>Бухгалтер _______________/Леонова И.В./</t>
  </si>
  <si>
    <t>Остаток на р/счете в ОАО СКБ Приморья "Примсоцбанк" на конец 2013 г</t>
  </si>
  <si>
    <t>Остаток в кассе на конец 2013 года</t>
  </si>
  <si>
    <t>Итого остаток денег на начало года</t>
  </si>
  <si>
    <t>ДОХОДЫ</t>
  </si>
  <si>
    <t>Платежи за жилищно-коммунальные услуги по расчетному счету</t>
  </si>
  <si>
    <t>Платежи за жилищно-коммунальные услуги по кассе</t>
  </si>
  <si>
    <t>Сдано в банк с кассы организации</t>
  </si>
  <si>
    <t>Итого  денег по расчетному счету</t>
  </si>
  <si>
    <t>Итого денег по кассе</t>
  </si>
  <si>
    <t>РАСХОДЫ ПО РАСЧЕТНОМУ СЧЕТУ В ОАО СКБ ПРИМОРЬЯ "ПРИМСОЦБАНК"</t>
  </si>
  <si>
    <t>КГУП "Приморский водоканал"</t>
  </si>
  <si>
    <t>Дальэнергосбыт "ДЭК"</t>
  </si>
  <si>
    <t>ДКГ Теплоснабжение</t>
  </si>
  <si>
    <t>Дальлифт (тех.обслуж.лифтов)</t>
  </si>
  <si>
    <t>Ростелеком (услуги сязи)</t>
  </si>
  <si>
    <t>Дальпресс ИПК</t>
  </si>
  <si>
    <t>Расчеты с бюджетом и фондами (налоги с ФОТ, госпошлины)</t>
  </si>
  <si>
    <t>Услуги банка</t>
  </si>
  <si>
    <t>Итого расходов по расчетному счету:</t>
  </si>
  <si>
    <t>РАСХОДЫ ПО КАССЕ</t>
  </si>
  <si>
    <t>Оплата труда (заработная плата)</t>
  </si>
  <si>
    <t>Расходы по содержанию дома в т.ч.:</t>
  </si>
  <si>
    <t>Услуги связи (Интернет Подряд)</t>
  </si>
  <si>
    <t>Обслуживание программных систем</t>
  </si>
  <si>
    <t>Материальные расходы(моющие и хозинвентарь)</t>
  </si>
  <si>
    <t>Замена счетчиков электроснабжения</t>
  </si>
  <si>
    <t>Платежи за установку АРС по р/с</t>
  </si>
  <si>
    <t>Платежи за установку АРС по кассе</t>
  </si>
  <si>
    <t>4 квартал</t>
  </si>
  <si>
    <t>Сварочные работы</t>
  </si>
  <si>
    <t>Энергосервис (тех.обслуживание узла учета тепловой энергии)</t>
  </si>
  <si>
    <t>ИТОГО за коммунальные услуги по р/с</t>
  </si>
  <si>
    <t>ОСТАТОК ДНЕЖНЫХ СРЕДСТВ НА КОНЕЦ КВАРТАЛА, ГОДА</t>
  </si>
  <si>
    <t>Остаток на расчетном счете</t>
  </si>
  <si>
    <t>Остаток по кассе</t>
  </si>
  <si>
    <t>Юридические (нотариальные) услуги</t>
  </si>
  <si>
    <t>Всего расходов по кассе</t>
  </si>
  <si>
    <t>ИТОГО РАСХОДОВ ПО КАССЕ</t>
  </si>
  <si>
    <t>Оплата за установку АРС (Энергополис)</t>
  </si>
  <si>
    <t>Энергополис (промывка, оприсовка отопительной системы</t>
  </si>
  <si>
    <t>Македония (вывоз ТБО)</t>
  </si>
  <si>
    <t>Тех. обслуживание прибров учета</t>
  </si>
  <si>
    <t>Тех. обслуживание шлагбаума</t>
  </si>
  <si>
    <t>Группа юристов(оформление земли)</t>
  </si>
  <si>
    <t>Текущий ремонт кыши</t>
  </si>
  <si>
    <t>Текущий ремонт тепл. водоснабжения</t>
  </si>
  <si>
    <t>Платежи по кап. ремонту по кассе</t>
  </si>
  <si>
    <t>платежи по кап.ремонту по р/с</t>
  </si>
  <si>
    <t>сдано денег в банк по кап.ремонту</t>
  </si>
  <si>
    <t>ДальЭкспертЦентр ООО (освидет.лифтов)</t>
  </si>
  <si>
    <t>Юманс ВЦ ООО (обслуживание програм.устройств)</t>
  </si>
  <si>
    <t>Остаток  на р/с по кап.ремонту</t>
  </si>
  <si>
    <t>Остаток денег на расчетном счете</t>
  </si>
  <si>
    <t>год 2014</t>
  </si>
  <si>
    <t>Страховые взносы, налоги</t>
  </si>
  <si>
    <t>2.0</t>
  </si>
  <si>
    <t>Техническое обслуживание шлагбаума</t>
  </si>
  <si>
    <t>Ремонт лифта</t>
  </si>
  <si>
    <t>Комиссия Сбербанка (кап.ремонт)</t>
  </si>
  <si>
    <t>Отчет по денежным средствам ТСЖ "Тополиная аллея" за 2014 год</t>
  </si>
  <si>
    <t>Итого остаток денег на конец года</t>
  </si>
  <si>
    <t>Бухгалтер ТСЖ______________Леонова И.В.</t>
  </si>
  <si>
    <t>1.</t>
  </si>
  <si>
    <t>тариф</t>
  </si>
  <si>
    <t>месяц</t>
  </si>
  <si>
    <t>Наименование статей</t>
  </si>
  <si>
    <t>Еденица изм.</t>
  </si>
  <si>
    <t>руб/кв.м.</t>
  </si>
  <si>
    <t>Управление домом (ФОТ+ налоги, страховые взносы)</t>
  </si>
  <si>
    <t>Содержание и текущий ремонт общего имущества дома:</t>
  </si>
  <si>
    <t>Содержание дома в т.ч.</t>
  </si>
  <si>
    <t>3.</t>
  </si>
  <si>
    <t>Обслуживание программных систем (4900- интернет отчетность в год+ 500 руб.ежемес.)</t>
  </si>
  <si>
    <t>7.</t>
  </si>
  <si>
    <t>Моющие средства, хозинвентарь</t>
  </si>
  <si>
    <t>8.</t>
  </si>
  <si>
    <t>9.</t>
  </si>
  <si>
    <t xml:space="preserve">10. </t>
  </si>
  <si>
    <t>11.</t>
  </si>
  <si>
    <t>Помывка и оприсовка отопительной системы</t>
  </si>
  <si>
    <t>12.</t>
  </si>
  <si>
    <t>Благоустройство придомой территории</t>
  </si>
  <si>
    <t>13.</t>
  </si>
  <si>
    <t>14.</t>
  </si>
  <si>
    <t>Всего содержание дома:</t>
  </si>
  <si>
    <t>Текущий ремонт в т.ч.</t>
  </si>
  <si>
    <t>Ремонт системы электроснабжения</t>
  </si>
  <si>
    <t>Ремонт системы отопления и водоотведения</t>
  </si>
  <si>
    <t>Прочее текущий ремонт</t>
  </si>
  <si>
    <t>Всего текущий ремонт:</t>
  </si>
  <si>
    <t>Всего по содержанию и текущему рмонту</t>
  </si>
  <si>
    <t>Расчетный тариф</t>
  </si>
  <si>
    <t>Содержание дома по договорам обслуживающих организаций в т.ч.</t>
  </si>
  <si>
    <t>Вывоз ТБО</t>
  </si>
  <si>
    <t>Капитальный ремонт</t>
  </si>
  <si>
    <t>Коммунальные услуги:</t>
  </si>
  <si>
    <t xml:space="preserve">Согласно тарифам,установленным </t>
  </si>
  <si>
    <t>Департаментом Приморского края</t>
  </si>
  <si>
    <t>Электроснабжение</t>
  </si>
  <si>
    <t>Члены правления ТСЖ "Тополинная аллея"</t>
  </si>
  <si>
    <t xml:space="preserve">Уважаемые собственники ТСЖ "Тополиная аллея", просим Вас ознакомиться с Проектной Сметой </t>
  </si>
  <si>
    <t xml:space="preserve"> на 2015 год и внести свои желаемые предложения для формирования Сметы 2015 года</t>
  </si>
  <si>
    <t>Проект Сметы на 2015 год  доходов и расходов средств на содержание и ремонт многоквартирного дома   ТСЖ "Тополиная аллея" по адресу Проспект Красного Знамени, дом № 34</t>
  </si>
  <si>
    <t>Содержание дома  в т.ч.</t>
  </si>
  <si>
    <t>15.</t>
  </si>
  <si>
    <t>Комиссия банка расчетно-кассовые операции</t>
  </si>
  <si>
    <t>21</t>
  </si>
  <si>
    <t>22</t>
  </si>
  <si>
    <t>23</t>
  </si>
  <si>
    <t>24</t>
  </si>
  <si>
    <t>25</t>
  </si>
  <si>
    <t>26</t>
  </si>
  <si>
    <t>Содержание дома всего:</t>
  </si>
  <si>
    <t>Содержание дома по договорным услугам в т.ч.</t>
  </si>
  <si>
    <t>4.2</t>
  </si>
  <si>
    <t>5</t>
  </si>
  <si>
    <t>6</t>
  </si>
  <si>
    <t>6.1</t>
  </si>
  <si>
    <t>6.2</t>
  </si>
  <si>
    <t>6.3</t>
  </si>
  <si>
    <t>ОТЧЕТ за 2014 год</t>
  </si>
  <si>
    <t>руб/чел.</t>
  </si>
  <si>
    <t>руб./чел.</t>
  </si>
  <si>
    <t>расходывания денежных средств многоквартирного дома ТСЖ "Тополиная аллея" по адресу: пр-кт Красного Знамени, д.34  за 2014 год</t>
  </si>
  <si>
    <t>Услуги банка (РКО) всего: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</si>
</sst>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43" fontId="4" fillId="0" borderId="1" xfId="0" applyNumberFormat="1" applyFont="1" applyBorder="1"/>
    <xf numFmtId="43" fontId="4" fillId="0" borderId="2" xfId="0" applyNumberFormat="1" applyFont="1" applyBorder="1"/>
    <xf numFmtId="49" fontId="4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43" fontId="1" fillId="0" borderId="1" xfId="0" applyNumberFormat="1" applyFont="1" applyBorder="1"/>
    <xf numFmtId="43" fontId="1" fillId="0" borderId="2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43" fontId="0" fillId="0" borderId="0" xfId="0" applyNumberFormat="1"/>
    <xf numFmtId="43" fontId="6" fillId="0" borderId="1" xfId="0" applyNumberFormat="1" applyFont="1" applyBorder="1"/>
    <xf numFmtId="0" fontId="0" fillId="0" borderId="1" xfId="0" applyBorder="1" applyAlignment="1">
      <alignment horizontal="left" vertical="top" wrapText="1"/>
    </xf>
    <xf numFmtId="43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43" fontId="6" fillId="0" borderId="1" xfId="0" applyNumberFormat="1" applyFont="1" applyBorder="1" applyAlignment="1">
      <alignment vertical="center"/>
    </xf>
    <xf numFmtId="43" fontId="0" fillId="0" borderId="1" xfId="0" applyNumberFormat="1" applyBorder="1"/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6" fillId="0" borderId="0" xfId="0" applyFont="1"/>
    <xf numFmtId="43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43" fontId="0" fillId="0" borderId="1" xfId="0" applyNumberFormat="1" applyBorder="1" applyAlignment="1">
      <alignment horizontal="left" vertical="top" wrapText="1"/>
    </xf>
    <xf numFmtId="43" fontId="8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activeCell="C18" sqref="C18"/>
    </sheetView>
  </sheetViews>
  <sheetFormatPr defaultRowHeight="14.4"/>
  <cols>
    <col min="1" max="1" width="3.33203125" customWidth="1"/>
    <col min="2" max="2" width="33.6640625" customWidth="1"/>
    <col min="3" max="3" width="9.33203125" customWidth="1"/>
    <col min="4" max="4" width="16.6640625" customWidth="1"/>
    <col min="5" max="6" width="16.109375" customWidth="1"/>
    <col min="7" max="7" width="16.44140625" customWidth="1"/>
    <col min="8" max="8" width="15.88671875" customWidth="1"/>
    <col min="9" max="9" width="16" customWidth="1"/>
    <col min="10" max="10" width="13.33203125" customWidth="1"/>
  </cols>
  <sheetData>
    <row r="1" spans="1:10" ht="19.5" customHeight="1">
      <c r="A1" s="36" t="s">
        <v>183</v>
      </c>
      <c r="B1" s="36"/>
      <c r="C1" s="36"/>
      <c r="D1" s="36"/>
      <c r="E1" s="36"/>
      <c r="F1" s="36"/>
      <c r="G1" s="36"/>
      <c r="H1" s="36"/>
    </row>
    <row r="2" spans="1:10" ht="28.5" customHeight="1">
      <c r="A2" s="37" t="s">
        <v>186</v>
      </c>
      <c r="B2" s="37"/>
      <c r="C2" s="37"/>
      <c r="D2" s="37"/>
      <c r="E2" s="37"/>
      <c r="F2" s="37"/>
      <c r="G2" s="37"/>
      <c r="H2" s="37"/>
    </row>
    <row r="3" spans="1:10" ht="41.4">
      <c r="A3" s="1" t="s">
        <v>5</v>
      </c>
      <c r="B3" s="10" t="s">
        <v>11</v>
      </c>
      <c r="C3" s="2" t="s">
        <v>8</v>
      </c>
      <c r="D3" s="11" t="s">
        <v>48</v>
      </c>
      <c r="E3" s="12" t="s">
        <v>9</v>
      </c>
      <c r="F3" s="12" t="s">
        <v>10</v>
      </c>
      <c r="G3" s="12" t="s">
        <v>91</v>
      </c>
      <c r="H3" s="13" t="s">
        <v>6</v>
      </c>
    </row>
    <row r="4" spans="1:10" ht="17.399999999999999">
      <c r="A4" s="34" t="s">
        <v>21</v>
      </c>
      <c r="B4" s="34"/>
      <c r="C4" s="34"/>
      <c r="D4" s="34"/>
      <c r="E4" s="34"/>
      <c r="F4" s="34"/>
      <c r="G4" s="34"/>
      <c r="H4" s="35"/>
    </row>
    <row r="5" spans="1:10">
      <c r="A5" s="1">
        <v>1</v>
      </c>
      <c r="B5" s="9" t="s">
        <v>27</v>
      </c>
      <c r="C5" s="3"/>
      <c r="D5" s="8">
        <f>D7+D6</f>
        <v>499984.52</v>
      </c>
      <c r="E5" s="7">
        <f t="shared" ref="E5:H5" si="0">E7+E6</f>
        <v>490458.94</v>
      </c>
      <c r="F5" s="7">
        <f t="shared" si="0"/>
        <v>492919.83999999997</v>
      </c>
      <c r="G5" s="7">
        <f t="shared" si="0"/>
        <v>497555.07</v>
      </c>
      <c r="H5" s="7">
        <f t="shared" si="0"/>
        <v>1980918.3699999999</v>
      </c>
    </row>
    <row r="6" spans="1:10">
      <c r="A6" s="5" t="s">
        <v>12</v>
      </c>
      <c r="B6" s="1" t="s">
        <v>22</v>
      </c>
      <c r="C6" s="3"/>
      <c r="D6" s="4">
        <v>365200</v>
      </c>
      <c r="E6" s="3">
        <v>354980</v>
      </c>
      <c r="F6" s="3">
        <v>356760</v>
      </c>
      <c r="G6" s="3">
        <v>369760</v>
      </c>
      <c r="H6" s="3">
        <f t="shared" ref="H6:H41" si="1">D6+E6+F6+G6</f>
        <v>1446700</v>
      </c>
      <c r="I6" s="15"/>
      <c r="J6" s="15"/>
    </row>
    <row r="7" spans="1:10">
      <c r="A7" s="5" t="s">
        <v>13</v>
      </c>
      <c r="B7" s="1" t="s">
        <v>117</v>
      </c>
      <c r="C7" s="3"/>
      <c r="D7" s="4">
        <v>134784.51999999999</v>
      </c>
      <c r="E7" s="3">
        <v>135478.94</v>
      </c>
      <c r="F7" s="3">
        <v>136159.84</v>
      </c>
      <c r="G7" s="3">
        <f>127495.07+300</f>
        <v>127795.07</v>
      </c>
      <c r="H7" s="3">
        <f t="shared" si="1"/>
        <v>534218.36999999988</v>
      </c>
    </row>
    <row r="8" spans="1:10">
      <c r="A8" s="5"/>
      <c r="B8" s="9" t="s">
        <v>166</v>
      </c>
      <c r="C8" s="3"/>
      <c r="D8" s="4"/>
      <c r="E8" s="3"/>
      <c r="F8" s="3"/>
      <c r="G8" s="3"/>
      <c r="H8" s="3"/>
    </row>
    <row r="9" spans="1:10">
      <c r="A9" s="5" t="s">
        <v>14</v>
      </c>
      <c r="B9" s="2" t="s">
        <v>23</v>
      </c>
      <c r="C9" s="3"/>
      <c r="D9" s="4">
        <v>1950</v>
      </c>
      <c r="E9" s="3">
        <v>350</v>
      </c>
      <c r="F9" s="3">
        <v>1250</v>
      </c>
      <c r="G9" s="3">
        <f>940+600</f>
        <v>1540</v>
      </c>
      <c r="H9" s="3">
        <f t="shared" si="1"/>
        <v>5090</v>
      </c>
    </row>
    <row r="10" spans="1:10">
      <c r="A10" s="5" t="s">
        <v>15</v>
      </c>
      <c r="B10" s="2" t="s">
        <v>0</v>
      </c>
      <c r="C10" s="3"/>
      <c r="D10" s="4">
        <v>3225</v>
      </c>
      <c r="E10" s="3">
        <v>1700</v>
      </c>
      <c r="F10" s="3">
        <v>1699.85</v>
      </c>
      <c r="G10" s="3">
        <v>2529</v>
      </c>
      <c r="H10" s="3">
        <f t="shared" si="1"/>
        <v>9153.85</v>
      </c>
    </row>
    <row r="11" spans="1:10">
      <c r="A11" s="5" t="s">
        <v>16</v>
      </c>
      <c r="B11" s="2" t="s">
        <v>86</v>
      </c>
      <c r="C11" s="3"/>
      <c r="D11" s="4">
        <v>2250</v>
      </c>
      <c r="E11" s="3">
        <v>3000</v>
      </c>
      <c r="F11" s="3"/>
      <c r="G11" s="3">
        <v>1650</v>
      </c>
      <c r="H11" s="3">
        <f t="shared" si="1"/>
        <v>6900</v>
      </c>
    </row>
    <row r="12" spans="1:10">
      <c r="A12" s="5" t="s">
        <v>17</v>
      </c>
      <c r="B12" s="2" t="s">
        <v>24</v>
      </c>
      <c r="C12" s="3"/>
      <c r="D12" s="4">
        <v>5000</v>
      </c>
      <c r="E12" s="3">
        <v>5151.04</v>
      </c>
      <c r="F12" s="3">
        <v>5000</v>
      </c>
      <c r="G12" s="3"/>
      <c r="H12" s="3">
        <f t="shared" si="1"/>
        <v>15151.04</v>
      </c>
    </row>
    <row r="13" spans="1:10">
      <c r="A13" s="5" t="s">
        <v>18</v>
      </c>
      <c r="B13" s="2" t="s">
        <v>25</v>
      </c>
      <c r="C13" s="3"/>
      <c r="D13" s="4">
        <v>2100</v>
      </c>
      <c r="E13" s="3"/>
      <c r="F13" s="3">
        <v>1000</v>
      </c>
      <c r="G13" s="3">
        <v>1000</v>
      </c>
      <c r="H13" s="3">
        <f t="shared" si="1"/>
        <v>4100</v>
      </c>
    </row>
    <row r="14" spans="1:10">
      <c r="A14" s="5" t="s">
        <v>26</v>
      </c>
      <c r="B14" s="1" t="s">
        <v>1</v>
      </c>
      <c r="C14" s="1"/>
      <c r="D14" s="4">
        <v>33106</v>
      </c>
      <c r="E14" s="3"/>
      <c r="F14" s="3">
        <v>15800</v>
      </c>
      <c r="G14" s="3"/>
      <c r="H14" s="3">
        <f t="shared" si="1"/>
        <v>48906</v>
      </c>
    </row>
    <row r="15" spans="1:10">
      <c r="A15" s="5" t="s">
        <v>28</v>
      </c>
      <c r="B15" s="1" t="s">
        <v>4</v>
      </c>
      <c r="C15" s="1"/>
      <c r="D15" s="4">
        <v>514.5</v>
      </c>
      <c r="E15" s="3">
        <v>2560</v>
      </c>
      <c r="F15" s="3">
        <v>4360</v>
      </c>
      <c r="G15" s="3"/>
      <c r="H15" s="3">
        <f t="shared" si="1"/>
        <v>7434.5</v>
      </c>
    </row>
    <row r="16" spans="1:10">
      <c r="A16" s="5" t="s">
        <v>118</v>
      </c>
      <c r="B16" s="1" t="s">
        <v>187</v>
      </c>
      <c r="C16" s="1"/>
      <c r="D16" s="4">
        <v>11235</v>
      </c>
      <c r="E16" s="3">
        <v>11280</v>
      </c>
      <c r="F16" s="3">
        <v>8580</v>
      </c>
      <c r="G16" s="3">
        <v>11957.7</v>
      </c>
      <c r="H16" s="3">
        <f t="shared" si="1"/>
        <v>43052.7</v>
      </c>
    </row>
    <row r="17" spans="1:8" ht="27.6">
      <c r="A17" s="5" t="s">
        <v>169</v>
      </c>
      <c r="B17" s="2" t="s">
        <v>29</v>
      </c>
      <c r="C17" s="3"/>
      <c r="D17" s="4">
        <v>3397</v>
      </c>
      <c r="E17" s="3">
        <v>4859</v>
      </c>
      <c r="F17" s="3">
        <v>3795</v>
      </c>
      <c r="G17" s="3">
        <v>8553</v>
      </c>
      <c r="H17" s="3">
        <f t="shared" si="1"/>
        <v>20604</v>
      </c>
    </row>
    <row r="18" spans="1:8" ht="27.6">
      <c r="A18" s="5" t="s">
        <v>170</v>
      </c>
      <c r="B18" s="2" t="s">
        <v>30</v>
      </c>
      <c r="C18" s="3"/>
      <c r="D18" s="4">
        <v>1391</v>
      </c>
      <c r="E18" s="3">
        <v>975.1</v>
      </c>
      <c r="F18" s="3">
        <v>1060.25</v>
      </c>
      <c r="G18" s="3">
        <v>5579.33</v>
      </c>
      <c r="H18" s="3">
        <f t="shared" si="1"/>
        <v>9005.68</v>
      </c>
    </row>
    <row r="19" spans="1:8">
      <c r="A19" s="5" t="s">
        <v>171</v>
      </c>
      <c r="B19" s="2" t="s">
        <v>31</v>
      </c>
      <c r="C19" s="3"/>
      <c r="D19" s="4"/>
      <c r="E19" s="3"/>
      <c r="F19" s="3"/>
      <c r="G19" s="3"/>
      <c r="H19" s="3">
        <f t="shared" si="1"/>
        <v>0</v>
      </c>
    </row>
    <row r="20" spans="1:8">
      <c r="A20" s="5" t="s">
        <v>172</v>
      </c>
      <c r="B20" s="2" t="s">
        <v>32</v>
      </c>
      <c r="C20" s="3"/>
      <c r="D20" s="4"/>
      <c r="E20" s="3"/>
      <c r="F20" s="3"/>
      <c r="G20" s="3"/>
      <c r="H20" s="3">
        <f t="shared" si="1"/>
        <v>0</v>
      </c>
    </row>
    <row r="21" spans="1:8" ht="27.6">
      <c r="A21" s="5" t="s">
        <v>173</v>
      </c>
      <c r="B21" s="2" t="s">
        <v>33</v>
      </c>
      <c r="C21" s="3"/>
      <c r="D21" s="4">
        <v>2165</v>
      </c>
      <c r="E21" s="3">
        <v>22000.6</v>
      </c>
      <c r="F21" s="3">
        <v>4318</v>
      </c>
      <c r="G21" s="3">
        <v>43070</v>
      </c>
      <c r="H21" s="3">
        <f t="shared" si="1"/>
        <v>71553.600000000006</v>
      </c>
    </row>
    <row r="22" spans="1:8" ht="27.6">
      <c r="A22" s="5" t="s">
        <v>174</v>
      </c>
      <c r="B22" s="2" t="s">
        <v>2</v>
      </c>
      <c r="C22" s="3"/>
      <c r="D22" s="4">
        <v>1500</v>
      </c>
      <c r="E22" s="3"/>
      <c r="F22" s="3">
        <v>2000</v>
      </c>
      <c r="G22" s="3">
        <v>1450</v>
      </c>
      <c r="H22" s="3">
        <f t="shared" si="1"/>
        <v>4950</v>
      </c>
    </row>
    <row r="23" spans="1:8" ht="27.6">
      <c r="A23" s="5" t="s">
        <v>35</v>
      </c>
      <c r="B23" s="2" t="s">
        <v>119</v>
      </c>
      <c r="C23" s="3"/>
      <c r="D23" s="4"/>
      <c r="E23" s="3">
        <v>1000</v>
      </c>
      <c r="F23" s="3"/>
      <c r="G23" s="3"/>
      <c r="H23" s="3">
        <f t="shared" si="1"/>
        <v>1000</v>
      </c>
    </row>
    <row r="24" spans="1:8" ht="27.6">
      <c r="A24" s="5" t="s">
        <v>36</v>
      </c>
      <c r="B24" s="2" t="s">
        <v>37</v>
      </c>
      <c r="C24" s="3"/>
      <c r="D24" s="4">
        <v>9000</v>
      </c>
      <c r="E24" s="3">
        <v>5000</v>
      </c>
      <c r="F24" s="3">
        <v>7500</v>
      </c>
      <c r="G24" s="3">
        <v>8000</v>
      </c>
      <c r="H24" s="3">
        <f t="shared" si="1"/>
        <v>29500</v>
      </c>
    </row>
    <row r="25" spans="1:8" ht="27.6">
      <c r="A25" s="5" t="s">
        <v>39</v>
      </c>
      <c r="B25" s="2" t="s">
        <v>38</v>
      </c>
      <c r="C25" s="3"/>
      <c r="D25" s="4"/>
      <c r="E25" s="3"/>
      <c r="F25" s="3">
        <v>36000</v>
      </c>
      <c r="G25" s="3"/>
      <c r="H25" s="3">
        <f t="shared" si="1"/>
        <v>36000</v>
      </c>
    </row>
    <row r="26" spans="1:8">
      <c r="A26" s="5"/>
      <c r="B26" s="6" t="s">
        <v>175</v>
      </c>
      <c r="C26" s="3"/>
      <c r="D26" s="8">
        <f>SUM(D9:D25)</f>
        <v>76833.5</v>
      </c>
      <c r="E26" s="7">
        <f t="shared" ref="E26:G26" si="2">SUM(E9:E25)</f>
        <v>57875.74</v>
      </c>
      <c r="F26" s="7">
        <f t="shared" si="2"/>
        <v>92363.1</v>
      </c>
      <c r="G26" s="7">
        <f t="shared" si="2"/>
        <v>85329.03</v>
      </c>
      <c r="H26" s="7">
        <f t="shared" si="1"/>
        <v>312401.37</v>
      </c>
    </row>
    <row r="27" spans="1:8">
      <c r="A27" s="5" t="s">
        <v>41</v>
      </c>
      <c r="B27" s="6" t="s">
        <v>40</v>
      </c>
      <c r="C27" s="3"/>
      <c r="D27" s="8">
        <f>D28+D29+D30+D31+D32</f>
        <v>6590</v>
      </c>
      <c r="E27" s="7">
        <f>E28+E29+E30+E31+E32</f>
        <v>15035</v>
      </c>
      <c r="F27" s="7">
        <f>F28+F29+F30+F31+F32</f>
        <v>26661</v>
      </c>
      <c r="G27" s="7">
        <f>G28+G29+G30+G31+G32</f>
        <v>65005</v>
      </c>
      <c r="H27" s="7">
        <f t="shared" si="1"/>
        <v>113291</v>
      </c>
    </row>
    <row r="28" spans="1:8" ht="27.6">
      <c r="A28" s="5" t="s">
        <v>42</v>
      </c>
      <c r="B28" s="2" t="s">
        <v>43</v>
      </c>
      <c r="C28" s="3"/>
      <c r="D28" s="4">
        <v>2000</v>
      </c>
      <c r="E28" s="3">
        <v>15035</v>
      </c>
      <c r="F28" s="3">
        <v>11279</v>
      </c>
      <c r="G28" s="3"/>
      <c r="H28" s="3">
        <f t="shared" si="1"/>
        <v>28314</v>
      </c>
    </row>
    <row r="29" spans="1:8">
      <c r="A29" s="5" t="s">
        <v>45</v>
      </c>
      <c r="B29" s="2" t="s">
        <v>44</v>
      </c>
      <c r="C29" s="3"/>
      <c r="D29" s="4"/>
      <c r="E29" s="3"/>
      <c r="F29" s="3"/>
      <c r="G29" s="3"/>
      <c r="H29" s="3">
        <f t="shared" si="1"/>
        <v>0</v>
      </c>
    </row>
    <row r="30" spans="1:8" ht="27.6">
      <c r="A30" s="5" t="s">
        <v>46</v>
      </c>
      <c r="B30" s="2" t="s">
        <v>3</v>
      </c>
      <c r="C30" s="3"/>
      <c r="D30" s="4">
        <v>4590</v>
      </c>
      <c r="E30" s="3"/>
      <c r="F30" s="3"/>
      <c r="G30" s="3"/>
      <c r="H30" s="3">
        <f t="shared" si="1"/>
        <v>4590</v>
      </c>
    </row>
    <row r="31" spans="1:8">
      <c r="A31" s="5" t="s">
        <v>47</v>
      </c>
      <c r="B31" s="2" t="s">
        <v>120</v>
      </c>
      <c r="C31" s="3"/>
      <c r="D31" s="4"/>
      <c r="E31" s="3"/>
      <c r="F31" s="3"/>
      <c r="G31" s="3">
        <v>65005</v>
      </c>
      <c r="H31" s="3">
        <f t="shared" si="1"/>
        <v>65005</v>
      </c>
    </row>
    <row r="32" spans="1:8">
      <c r="A32" s="5" t="s">
        <v>50</v>
      </c>
      <c r="B32" s="2" t="s">
        <v>51</v>
      </c>
      <c r="C32" s="3"/>
      <c r="D32" s="4"/>
      <c r="E32" s="3"/>
      <c r="F32" s="3">
        <v>15382</v>
      </c>
      <c r="G32" s="3"/>
      <c r="H32" s="3">
        <f t="shared" si="1"/>
        <v>15382</v>
      </c>
    </row>
    <row r="33" spans="1:10" ht="27.6">
      <c r="A33" s="5" t="s">
        <v>20</v>
      </c>
      <c r="B33" s="6" t="s">
        <v>176</v>
      </c>
      <c r="C33" s="3"/>
      <c r="D33" s="8">
        <f>D35+D34</f>
        <v>37050</v>
      </c>
      <c r="E33" s="7">
        <f t="shared" ref="E33:H33" si="3">E35+E34</f>
        <v>75180</v>
      </c>
      <c r="F33" s="7">
        <f t="shared" si="3"/>
        <v>60960</v>
      </c>
      <c r="G33" s="7">
        <f t="shared" si="3"/>
        <v>73880</v>
      </c>
      <c r="H33" s="7">
        <f t="shared" si="3"/>
        <v>247070</v>
      </c>
    </row>
    <row r="34" spans="1:10">
      <c r="A34" s="5" t="s">
        <v>52</v>
      </c>
      <c r="B34" s="2" t="s">
        <v>156</v>
      </c>
      <c r="C34" s="3"/>
      <c r="D34" s="4">
        <v>15930</v>
      </c>
      <c r="E34" s="3">
        <v>32940</v>
      </c>
      <c r="F34" s="3">
        <v>24840</v>
      </c>
      <c r="G34" s="3">
        <v>24840</v>
      </c>
      <c r="H34" s="3">
        <f>D34+E34+F34+G34</f>
        <v>98550</v>
      </c>
    </row>
    <row r="35" spans="1:10">
      <c r="A35" s="5" t="s">
        <v>177</v>
      </c>
      <c r="B35" s="2" t="s">
        <v>34</v>
      </c>
      <c r="C35" s="3"/>
      <c r="D35" s="4">
        <v>21120</v>
      </c>
      <c r="E35" s="3">
        <v>42240</v>
      </c>
      <c r="F35" s="3">
        <v>36120</v>
      </c>
      <c r="G35" s="3">
        <v>49040</v>
      </c>
      <c r="H35" s="3">
        <f>D35+E35+F35+G35</f>
        <v>148520</v>
      </c>
    </row>
    <row r="36" spans="1:10">
      <c r="A36" s="5" t="s">
        <v>178</v>
      </c>
      <c r="B36" s="9" t="s">
        <v>49</v>
      </c>
      <c r="C36" s="3"/>
      <c r="D36" s="4"/>
      <c r="E36" s="7">
        <f>E37</f>
        <v>580000</v>
      </c>
      <c r="F36" s="7">
        <f>F37</f>
        <v>0</v>
      </c>
      <c r="G36" s="7"/>
      <c r="H36" s="7">
        <f t="shared" si="1"/>
        <v>580000</v>
      </c>
    </row>
    <row r="37" spans="1:10">
      <c r="A37" s="5" t="s">
        <v>56</v>
      </c>
      <c r="B37" s="1" t="s">
        <v>53</v>
      </c>
      <c r="C37" s="3"/>
      <c r="D37" s="4"/>
      <c r="E37" s="3">
        <v>580000</v>
      </c>
      <c r="F37" s="3"/>
      <c r="G37" s="3"/>
      <c r="H37" s="3">
        <f t="shared" si="1"/>
        <v>580000</v>
      </c>
    </row>
    <row r="38" spans="1:10">
      <c r="A38" s="5" t="s">
        <v>179</v>
      </c>
      <c r="B38" s="9" t="s">
        <v>55</v>
      </c>
      <c r="C38" s="3"/>
      <c r="D38" s="8">
        <f>D39+D40+D41</f>
        <v>763548.32</v>
      </c>
      <c r="E38" s="7">
        <f>E39+E40+E41</f>
        <v>731789.5199999999</v>
      </c>
      <c r="F38" s="7">
        <f t="shared" ref="F38:G38" si="4">F39+F40+F41</f>
        <v>251990.76</v>
      </c>
      <c r="G38" s="7">
        <f t="shared" si="4"/>
        <v>740650.07000000007</v>
      </c>
      <c r="H38" s="7">
        <f t="shared" si="1"/>
        <v>2487978.67</v>
      </c>
    </row>
    <row r="39" spans="1:10">
      <c r="A39" s="5" t="s">
        <v>180</v>
      </c>
      <c r="B39" s="1" t="s">
        <v>57</v>
      </c>
      <c r="C39" s="3"/>
      <c r="D39" s="4">
        <v>629374.47</v>
      </c>
      <c r="E39" s="3">
        <v>477490.98</v>
      </c>
      <c r="F39" s="3">
        <v>57478.81</v>
      </c>
      <c r="G39" s="3">
        <v>419517.12</v>
      </c>
      <c r="H39" s="3">
        <f t="shared" si="1"/>
        <v>1583861.38</v>
      </c>
    </row>
    <row r="40" spans="1:10">
      <c r="A40" s="5" t="s">
        <v>181</v>
      </c>
      <c r="B40" s="1" t="s">
        <v>58</v>
      </c>
      <c r="C40" s="3"/>
      <c r="D40" s="4">
        <v>52272.83</v>
      </c>
      <c r="E40" s="3">
        <v>94008.19</v>
      </c>
      <c r="F40" s="3">
        <v>36798.11</v>
      </c>
      <c r="G40" s="3">
        <v>81599.91</v>
      </c>
      <c r="H40" s="3">
        <f t="shared" si="1"/>
        <v>264679.04000000004</v>
      </c>
    </row>
    <row r="41" spans="1:10">
      <c r="A41" s="5" t="s">
        <v>182</v>
      </c>
      <c r="B41" s="1" t="s">
        <v>59</v>
      </c>
      <c r="C41" s="3"/>
      <c r="D41" s="4">
        <v>81901.02</v>
      </c>
      <c r="E41" s="3">
        <v>160290.35</v>
      </c>
      <c r="F41" s="3">
        <v>157713.84</v>
      </c>
      <c r="G41" s="3">
        <v>239533.04</v>
      </c>
      <c r="H41" s="3">
        <f t="shared" si="1"/>
        <v>639438.25</v>
      </c>
    </row>
    <row r="42" spans="1:10">
      <c r="A42" s="5"/>
      <c r="B42" s="9" t="s">
        <v>61</v>
      </c>
      <c r="C42" s="3"/>
      <c r="D42" s="8">
        <f>D5+D26+D27+D33+D38</f>
        <v>1384006.3399999999</v>
      </c>
      <c r="E42" s="7">
        <f>E5+E26+E27+E33+E38+E36</f>
        <v>1950339.2</v>
      </c>
      <c r="F42" s="7">
        <f>F5+F26+F27+F33+F38+F36</f>
        <v>924894.7</v>
      </c>
      <c r="G42" s="7">
        <f>G5+G26+G27+G33+G38</f>
        <v>1462419.17</v>
      </c>
      <c r="H42" s="7">
        <f>H5+H26+H27+H33+H38+H36</f>
        <v>5721659.4100000001</v>
      </c>
      <c r="I42" s="15"/>
      <c r="J42" s="15"/>
    </row>
    <row r="43" spans="1:10" ht="36.6" customHeight="1">
      <c r="B43" s="14" t="s">
        <v>7</v>
      </c>
      <c r="C43" s="14"/>
    </row>
    <row r="44" spans="1:10">
      <c r="B44" s="14"/>
      <c r="C44" s="14"/>
    </row>
    <row r="45" spans="1:10">
      <c r="B45" s="14" t="s">
        <v>62</v>
      </c>
      <c r="C45" s="14"/>
    </row>
  </sheetData>
  <mergeCells count="3">
    <mergeCell ref="A4:H4"/>
    <mergeCell ref="A1:H1"/>
    <mergeCell ref="A2:H2"/>
  </mergeCells>
  <pageMargins left="0" right="0" top="0.98425196850393704" bottom="0" header="0.98425196850393704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activeCell="C70" sqref="C70"/>
    </sheetView>
  </sheetViews>
  <sheetFormatPr defaultRowHeight="14.4"/>
  <cols>
    <col min="1" max="1" width="36.33203125" customWidth="1"/>
    <col min="2" max="2" width="14.5546875" customWidth="1"/>
    <col min="3" max="3" width="14.44140625" customWidth="1"/>
    <col min="4" max="4" width="13.5546875" customWidth="1"/>
    <col min="5" max="5" width="15.33203125" customWidth="1"/>
    <col min="6" max="6" width="15.5546875" customWidth="1"/>
    <col min="7" max="8" width="12.6640625" bestFit="1" customWidth="1"/>
  </cols>
  <sheetData>
    <row r="1" spans="1:6">
      <c r="A1" s="38" t="s">
        <v>122</v>
      </c>
      <c r="B1" s="38"/>
      <c r="C1" s="38"/>
      <c r="D1" s="38"/>
      <c r="E1" s="38"/>
      <c r="F1" s="38"/>
    </row>
    <row r="2" spans="1:6">
      <c r="A2" s="10" t="s">
        <v>11</v>
      </c>
      <c r="B2" s="11" t="s">
        <v>48</v>
      </c>
      <c r="C2" s="12" t="s">
        <v>9</v>
      </c>
      <c r="D2" s="12" t="s">
        <v>10</v>
      </c>
      <c r="E2" s="12" t="s">
        <v>91</v>
      </c>
      <c r="F2" s="13" t="s">
        <v>116</v>
      </c>
    </row>
    <row r="3" spans="1:6">
      <c r="A3" s="42" t="s">
        <v>63</v>
      </c>
      <c r="B3" s="42"/>
      <c r="C3" s="42"/>
      <c r="D3" s="42"/>
      <c r="E3" s="42"/>
      <c r="F3" s="16">
        <v>9204.07</v>
      </c>
    </row>
    <row r="4" spans="1:6">
      <c r="A4" s="42" t="s">
        <v>64</v>
      </c>
      <c r="B4" s="42"/>
      <c r="C4" s="42"/>
      <c r="D4" s="42"/>
      <c r="E4" s="42"/>
      <c r="F4" s="16">
        <v>96571.07</v>
      </c>
    </row>
    <row r="5" spans="1:6">
      <c r="A5" s="43" t="s">
        <v>65</v>
      </c>
      <c r="B5" s="43"/>
      <c r="C5" s="43"/>
      <c r="D5" s="43"/>
      <c r="E5" s="43"/>
      <c r="F5" s="16">
        <f>SUM(F3:F4)</f>
        <v>105775.14000000001</v>
      </c>
    </row>
    <row r="6" spans="1:6">
      <c r="A6" s="41" t="s">
        <v>66</v>
      </c>
      <c r="B6" s="41"/>
      <c r="C6" s="41"/>
      <c r="D6" s="41"/>
      <c r="E6" s="41"/>
      <c r="F6" s="41"/>
    </row>
    <row r="7" spans="1:6" ht="28.8">
      <c r="A7" s="17" t="s">
        <v>67</v>
      </c>
      <c r="B7" s="18">
        <v>62245.95</v>
      </c>
      <c r="C7" s="18">
        <v>60683.92</v>
      </c>
      <c r="D7" s="18">
        <v>36917.42</v>
      </c>
      <c r="E7" s="18">
        <v>83449.179999999993</v>
      </c>
      <c r="F7" s="20">
        <f>B7+C7+D7+E7</f>
        <v>243296.46999999997</v>
      </c>
    </row>
    <row r="8" spans="1:6" ht="28.8">
      <c r="A8" s="17" t="s">
        <v>68</v>
      </c>
      <c r="B8" s="18">
        <v>1517446.04</v>
      </c>
      <c r="C8" s="18">
        <v>1262700.1599999999</v>
      </c>
      <c r="D8" s="18">
        <v>791271.32</v>
      </c>
      <c r="E8" s="18">
        <v>1337994.8799999999</v>
      </c>
      <c r="F8" s="20">
        <f t="shared" ref="F8:F16" si="0">B8+C8+D8+E8</f>
        <v>4909412.4000000004</v>
      </c>
    </row>
    <row r="9" spans="1:6">
      <c r="A9" s="17" t="s">
        <v>89</v>
      </c>
      <c r="B9" s="18"/>
      <c r="C9" s="18">
        <v>6000</v>
      </c>
      <c r="D9" s="18">
        <v>6923.47</v>
      </c>
      <c r="E9" s="18"/>
      <c r="F9" s="20">
        <f t="shared" si="0"/>
        <v>12923.470000000001</v>
      </c>
    </row>
    <row r="10" spans="1:6">
      <c r="A10" s="17" t="s">
        <v>90</v>
      </c>
      <c r="B10" s="18"/>
      <c r="C10" s="18">
        <v>534486.02</v>
      </c>
      <c r="D10" s="18">
        <v>32110.73</v>
      </c>
      <c r="E10" s="18"/>
      <c r="F10" s="20">
        <f t="shared" si="0"/>
        <v>566596.75</v>
      </c>
    </row>
    <row r="11" spans="1:6" ht="17.25" customHeight="1">
      <c r="A11" s="17" t="s">
        <v>69</v>
      </c>
      <c r="B11" s="18">
        <v>930000</v>
      </c>
      <c r="C11" s="18">
        <v>900000</v>
      </c>
      <c r="D11" s="18">
        <v>460000</v>
      </c>
      <c r="E11" s="18">
        <v>917950</v>
      </c>
      <c r="F11" s="20">
        <f t="shared" si="0"/>
        <v>3207950</v>
      </c>
    </row>
    <row r="12" spans="1:6" ht="17.25" customHeight="1">
      <c r="A12" s="17" t="s">
        <v>109</v>
      </c>
      <c r="B12" s="18"/>
      <c r="C12" s="18"/>
      <c r="D12" s="18"/>
      <c r="E12" s="18">
        <v>113467.23</v>
      </c>
      <c r="F12" s="20">
        <f t="shared" si="0"/>
        <v>113467.23</v>
      </c>
    </row>
    <row r="13" spans="1:6" ht="17.25" customHeight="1">
      <c r="A13" s="17" t="s">
        <v>110</v>
      </c>
      <c r="B13" s="18"/>
      <c r="C13" s="18"/>
      <c r="D13" s="18"/>
      <c r="E13" s="18">
        <v>13816.44</v>
      </c>
      <c r="F13" s="20">
        <f t="shared" si="0"/>
        <v>13816.44</v>
      </c>
    </row>
    <row r="14" spans="1:6" ht="17.25" customHeight="1">
      <c r="A14" s="17" t="s">
        <v>111</v>
      </c>
      <c r="B14" s="18"/>
      <c r="C14" s="18"/>
      <c r="D14" s="18"/>
      <c r="E14" s="18">
        <v>95600</v>
      </c>
      <c r="F14" s="20">
        <f t="shared" si="0"/>
        <v>95600</v>
      </c>
    </row>
    <row r="15" spans="1:6" ht="19.5" customHeight="1">
      <c r="A15" s="19" t="s">
        <v>70</v>
      </c>
      <c r="B15" s="20">
        <f>F3+B7+B11</f>
        <v>1001450.02</v>
      </c>
      <c r="C15" s="20">
        <f>B59+C7+C9+C11</f>
        <v>975610.10000000009</v>
      </c>
      <c r="D15" s="20">
        <f>C59+D7+D9+D11</f>
        <v>515571.49000000011</v>
      </c>
      <c r="E15" s="20">
        <f>D59+E7+E11+E13+E14</f>
        <v>1119596.51</v>
      </c>
      <c r="F15" s="20">
        <f t="shared" si="0"/>
        <v>3612228.12</v>
      </c>
    </row>
    <row r="16" spans="1:6" ht="18" customHeight="1">
      <c r="A16" s="19" t="s">
        <v>71</v>
      </c>
      <c r="B16" s="20">
        <f>F4+B8-B11</f>
        <v>684017.1100000001</v>
      </c>
      <c r="C16" s="20">
        <f>B62+C8+C10-C11</f>
        <v>1189720.79</v>
      </c>
      <c r="D16" s="20">
        <f>C62+D8+D10-D11</f>
        <v>854843.14000000013</v>
      </c>
      <c r="E16" s="16">
        <f>D62+E8+E12</f>
        <v>1596557.15</v>
      </c>
      <c r="F16" s="16">
        <f t="shared" si="0"/>
        <v>4325138.1899999995</v>
      </c>
    </row>
    <row r="17" spans="1:8">
      <c r="A17" s="40" t="s">
        <v>72</v>
      </c>
      <c r="B17" s="40"/>
      <c r="C17" s="40"/>
      <c r="D17" s="40"/>
      <c r="E17" s="40"/>
      <c r="F17" s="40"/>
    </row>
    <row r="18" spans="1:8">
      <c r="A18" s="17" t="s">
        <v>73</v>
      </c>
      <c r="B18" s="21">
        <v>52272.83</v>
      </c>
      <c r="C18" s="21">
        <v>94008.19</v>
      </c>
      <c r="D18" s="21">
        <v>36798.11</v>
      </c>
      <c r="E18" s="21">
        <v>81599.91</v>
      </c>
      <c r="F18" s="16">
        <f>B18+C18+D18+E18</f>
        <v>264679.04000000004</v>
      </c>
    </row>
    <row r="19" spans="1:8">
      <c r="A19" s="17" t="s">
        <v>74</v>
      </c>
      <c r="B19" s="21">
        <v>81901.02</v>
      </c>
      <c r="C19" s="21">
        <v>160290.35</v>
      </c>
      <c r="D19" s="21">
        <v>157713.84</v>
      </c>
      <c r="E19" s="21">
        <v>239533.04</v>
      </c>
      <c r="F19" s="16">
        <f t="shared" ref="F19:F34" si="1">B19+C19+D19+E19</f>
        <v>639438.25</v>
      </c>
    </row>
    <row r="20" spans="1:8">
      <c r="A20" s="17" t="s">
        <v>75</v>
      </c>
      <c r="B20" s="21">
        <v>629374.47</v>
      </c>
      <c r="C20" s="21">
        <v>477490.98</v>
      </c>
      <c r="D20" s="21">
        <v>57478.81</v>
      </c>
      <c r="E20" s="21">
        <v>419517.12</v>
      </c>
      <c r="F20" s="16">
        <f t="shared" si="1"/>
        <v>1583861.38</v>
      </c>
    </row>
    <row r="21" spans="1:8">
      <c r="A21" s="17" t="s">
        <v>76</v>
      </c>
      <c r="B21" s="21">
        <v>21120</v>
      </c>
      <c r="C21" s="21">
        <f>42240</f>
        <v>42240</v>
      </c>
      <c r="D21" s="21">
        <v>36120</v>
      </c>
      <c r="E21" s="21">
        <v>101245</v>
      </c>
      <c r="F21" s="16">
        <f t="shared" si="1"/>
        <v>200725</v>
      </c>
    </row>
    <row r="22" spans="1:8" ht="15" customHeight="1">
      <c r="A22" s="17" t="s">
        <v>103</v>
      </c>
      <c r="B22" s="21">
        <v>15930</v>
      </c>
      <c r="C22" s="21">
        <v>32940</v>
      </c>
      <c r="D22" s="21">
        <v>24840</v>
      </c>
      <c r="E22" s="21">
        <v>24840</v>
      </c>
      <c r="F22" s="16">
        <f t="shared" si="1"/>
        <v>98550</v>
      </c>
    </row>
    <row r="23" spans="1:8" ht="28.8">
      <c r="A23" s="17" t="s">
        <v>93</v>
      </c>
      <c r="B23" s="21">
        <v>9000</v>
      </c>
      <c r="C23" s="21">
        <v>5000</v>
      </c>
      <c r="D23" s="21">
        <v>7500</v>
      </c>
      <c r="E23" s="21">
        <v>8000</v>
      </c>
      <c r="F23" s="16">
        <f t="shared" si="1"/>
        <v>29500</v>
      </c>
    </row>
    <row r="24" spans="1:8">
      <c r="A24" s="17" t="s">
        <v>106</v>
      </c>
      <c r="B24" s="21">
        <v>31906</v>
      </c>
      <c r="C24" s="21"/>
      <c r="D24" s="21"/>
      <c r="E24" s="21"/>
      <c r="F24" s="16">
        <f t="shared" si="1"/>
        <v>31906</v>
      </c>
      <c r="G24" s="15"/>
    </row>
    <row r="25" spans="1:8" ht="28.8">
      <c r="A25" s="17" t="s">
        <v>102</v>
      </c>
      <c r="B25" s="21"/>
      <c r="C25" s="21"/>
      <c r="D25" s="21">
        <v>36000</v>
      </c>
      <c r="E25" s="21"/>
      <c r="F25" s="16">
        <f t="shared" si="1"/>
        <v>36000</v>
      </c>
      <c r="H25" s="15"/>
    </row>
    <row r="26" spans="1:8" ht="28.8">
      <c r="A26" s="17" t="s">
        <v>112</v>
      </c>
      <c r="B26" s="21"/>
      <c r="C26" s="21"/>
      <c r="D26" s="21"/>
      <c r="E26" s="21">
        <v>6800</v>
      </c>
      <c r="F26" s="16">
        <f t="shared" si="1"/>
        <v>6800</v>
      </c>
      <c r="H26" s="15"/>
    </row>
    <row r="27" spans="1:8">
      <c r="A27" s="22" t="s">
        <v>94</v>
      </c>
      <c r="B27" s="20">
        <f>SUM(B18:B24)</f>
        <v>841504.32</v>
      </c>
      <c r="C27" s="20">
        <f>SUM(C18:C25)</f>
        <v>811969.52</v>
      </c>
      <c r="D27" s="16">
        <f>SUM(D18:D26)</f>
        <v>356450.76</v>
      </c>
      <c r="E27" s="16">
        <f>E18+E19+E20+E21+E22+E23+E24+E25+E26</f>
        <v>881535.07000000007</v>
      </c>
      <c r="F27" s="16">
        <f t="shared" si="1"/>
        <v>2891459.67</v>
      </c>
    </row>
    <row r="28" spans="1:8">
      <c r="A28" s="17" t="s">
        <v>77</v>
      </c>
      <c r="B28" s="21">
        <v>5000</v>
      </c>
      <c r="C28" s="21">
        <v>5151.04</v>
      </c>
      <c r="D28" s="21">
        <f>5000</f>
        <v>5000</v>
      </c>
      <c r="E28" s="21"/>
      <c r="F28" s="16">
        <f t="shared" si="1"/>
        <v>15151.04</v>
      </c>
    </row>
    <row r="29" spans="1:8">
      <c r="A29" s="17" t="s">
        <v>78</v>
      </c>
      <c r="B29" s="21"/>
      <c r="C29" s="21"/>
      <c r="D29" s="21">
        <f>600</f>
        <v>600</v>
      </c>
      <c r="E29" s="21">
        <v>600</v>
      </c>
      <c r="F29" s="16">
        <f t="shared" si="1"/>
        <v>1200</v>
      </c>
    </row>
    <row r="30" spans="1:8" ht="28.8">
      <c r="A30" s="17" t="s">
        <v>113</v>
      </c>
      <c r="B30" s="21"/>
      <c r="C30" s="21"/>
      <c r="D30" s="21"/>
      <c r="E30" s="21">
        <v>1650</v>
      </c>
      <c r="F30" s="16">
        <f t="shared" si="1"/>
        <v>1650</v>
      </c>
    </row>
    <row r="31" spans="1:8" ht="16.5" customHeight="1">
      <c r="A31" s="17" t="s">
        <v>79</v>
      </c>
      <c r="B31" s="18">
        <f>81194.6+811.92+52778</f>
        <v>134784.52000000002</v>
      </c>
      <c r="C31" s="18">
        <f>81373.2+813.74+53292</f>
        <v>135478.94</v>
      </c>
      <c r="D31" s="21">
        <f>135759.84+400</f>
        <v>136159.84</v>
      </c>
      <c r="E31" s="21">
        <v>127495.07</v>
      </c>
      <c r="F31" s="16">
        <f t="shared" si="1"/>
        <v>533918.37000000011</v>
      </c>
    </row>
    <row r="32" spans="1:8" ht="16.5" customHeight="1">
      <c r="A32" s="17" t="s">
        <v>121</v>
      </c>
      <c r="B32" s="18"/>
      <c r="C32" s="18"/>
      <c r="D32" s="21"/>
      <c r="E32" s="21">
        <v>400</v>
      </c>
      <c r="F32" s="16">
        <f t="shared" si="1"/>
        <v>400</v>
      </c>
    </row>
    <row r="33" spans="1:6">
      <c r="A33" s="17" t="s">
        <v>80</v>
      </c>
      <c r="B33" s="21">
        <v>11235</v>
      </c>
      <c r="C33" s="21">
        <f>3300+7980</f>
        <v>11280</v>
      </c>
      <c r="D33" s="21">
        <v>8580</v>
      </c>
      <c r="E33" s="21">
        <v>11557.7</v>
      </c>
      <c r="F33" s="16">
        <f t="shared" si="1"/>
        <v>42652.7</v>
      </c>
    </row>
    <row r="34" spans="1:6">
      <c r="A34" s="19" t="s">
        <v>81</v>
      </c>
      <c r="B34" s="16">
        <f>B27+B31+B33+B28</f>
        <v>992523.84</v>
      </c>
      <c r="C34" s="16">
        <f>C27+C28+C31+C33</f>
        <v>963879.5</v>
      </c>
      <c r="D34" s="16">
        <f>D27+D28+D29+D30+D31+D33</f>
        <v>506790.6</v>
      </c>
      <c r="E34" s="16">
        <f>E27+E28+E29+E30+E31+E33+E32</f>
        <v>1023237.8400000001</v>
      </c>
      <c r="F34" s="16">
        <f t="shared" si="1"/>
        <v>3486431.7800000003</v>
      </c>
    </row>
    <row r="35" spans="1:6">
      <c r="A35" s="40" t="s">
        <v>82</v>
      </c>
      <c r="B35" s="40"/>
      <c r="C35" s="40"/>
      <c r="D35" s="40"/>
      <c r="E35" s="40"/>
      <c r="F35" s="40"/>
    </row>
    <row r="36" spans="1:6">
      <c r="A36" s="17" t="s">
        <v>83</v>
      </c>
      <c r="B36" s="18">
        <v>365200</v>
      </c>
      <c r="C36" s="18">
        <v>354980</v>
      </c>
      <c r="D36" s="18">
        <v>356760</v>
      </c>
      <c r="E36" s="18">
        <v>369760</v>
      </c>
      <c r="F36" s="20">
        <f>B36+C36+D36+E36</f>
        <v>1446700</v>
      </c>
    </row>
    <row r="37" spans="1:6" ht="15" customHeight="1">
      <c r="A37" s="23" t="s">
        <v>84</v>
      </c>
      <c r="B37" s="18"/>
      <c r="C37" s="18"/>
      <c r="D37" s="18"/>
      <c r="E37" s="18"/>
      <c r="F37" s="20">
        <f t="shared" ref="F37:F57" si="2">B37+C37+D37+E37</f>
        <v>0</v>
      </c>
    </row>
    <row r="38" spans="1:6">
      <c r="A38" s="17" t="s">
        <v>85</v>
      </c>
      <c r="B38" s="18">
        <f>1500+600</f>
        <v>2100</v>
      </c>
      <c r="C38" s="18"/>
      <c r="D38" s="18">
        <f>1000</f>
        <v>1000</v>
      </c>
      <c r="E38" s="18">
        <v>1000</v>
      </c>
      <c r="F38" s="20">
        <f t="shared" si="2"/>
        <v>4100</v>
      </c>
    </row>
    <row r="39" spans="1:6">
      <c r="A39" s="17" t="s">
        <v>98</v>
      </c>
      <c r="B39" s="18">
        <v>1200</v>
      </c>
      <c r="C39" s="18">
        <f>1000+800</f>
        <v>1800</v>
      </c>
      <c r="D39" s="18">
        <f>800+15000</f>
        <v>15800</v>
      </c>
      <c r="E39" s="18">
        <v>300</v>
      </c>
      <c r="F39" s="20">
        <f t="shared" si="2"/>
        <v>19100</v>
      </c>
    </row>
    <row r="40" spans="1:6">
      <c r="A40" s="17" t="s">
        <v>23</v>
      </c>
      <c r="B40" s="18">
        <f>250+1700</f>
        <v>1950</v>
      </c>
      <c r="C40" s="18">
        <f>350</f>
        <v>350</v>
      </c>
      <c r="D40" s="18">
        <f>250+1000</f>
        <v>1250</v>
      </c>
      <c r="E40" s="18">
        <v>940</v>
      </c>
      <c r="F40" s="20">
        <f t="shared" si="2"/>
        <v>4490</v>
      </c>
    </row>
    <row r="41" spans="1:6">
      <c r="A41" s="17" t="s">
        <v>86</v>
      </c>
      <c r="B41" s="18">
        <v>2250</v>
      </c>
      <c r="C41" s="18">
        <v>3000</v>
      </c>
      <c r="D41" s="18"/>
      <c r="E41" s="18"/>
      <c r="F41" s="20">
        <f t="shared" si="2"/>
        <v>5250</v>
      </c>
    </row>
    <row r="42" spans="1:6">
      <c r="A42" s="17" t="s">
        <v>0</v>
      </c>
      <c r="B42" s="18">
        <f>180+1370+175+380+500+320+300</f>
        <v>3225</v>
      </c>
      <c r="C42" s="18">
        <f>1180+320+200</f>
        <v>1700</v>
      </c>
      <c r="D42" s="18">
        <f>32.85+40+110+1180+337</f>
        <v>1699.85</v>
      </c>
      <c r="E42" s="18">
        <f>2429+50+50</f>
        <v>2529</v>
      </c>
      <c r="F42" s="20">
        <f t="shared" si="2"/>
        <v>9153.85</v>
      </c>
    </row>
    <row r="43" spans="1:6" ht="27.75" customHeight="1">
      <c r="A43" s="17" t="s">
        <v>87</v>
      </c>
      <c r="B43" s="18">
        <f>200+173+43+252+69+120+928+900+176+86+450</f>
        <v>3397</v>
      </c>
      <c r="C43" s="18">
        <f>212+803+180+266+172+98+54+267+600+64+1102+50+60+331+600</f>
        <v>4859</v>
      </c>
      <c r="D43" s="18">
        <f>600+160+340+172+98+267+300+224+144+850+300+340</f>
        <v>3795</v>
      </c>
      <c r="E43" s="18">
        <f>8521+32</f>
        <v>8553</v>
      </c>
      <c r="F43" s="20">
        <f t="shared" si="2"/>
        <v>20604</v>
      </c>
    </row>
    <row r="44" spans="1:6" ht="16.5" customHeight="1">
      <c r="A44" s="17" t="s">
        <v>88</v>
      </c>
      <c r="B44" s="18">
        <f>1500+1590</f>
        <v>3090</v>
      </c>
      <c r="C44" s="18"/>
      <c r="D44" s="18">
        <f>258+600+186</f>
        <v>1044</v>
      </c>
      <c r="E44" s="18"/>
      <c r="F44" s="20">
        <f t="shared" si="2"/>
        <v>4134</v>
      </c>
    </row>
    <row r="45" spans="1:6" ht="18.75" customHeight="1">
      <c r="A45" s="17" t="s">
        <v>30</v>
      </c>
      <c r="B45" s="18">
        <f>989+402</f>
        <v>1391</v>
      </c>
      <c r="C45" s="18">
        <f>622+353.1</f>
        <v>975.1</v>
      </c>
      <c r="D45" s="18">
        <f>123.75+257+54+170+30+72+271.5+82</f>
        <v>1060.25</v>
      </c>
      <c r="E45" s="18">
        <f>5144.33+435</f>
        <v>5579.33</v>
      </c>
      <c r="F45" s="20">
        <f t="shared" si="2"/>
        <v>9005.68</v>
      </c>
    </row>
    <row r="46" spans="1:6" ht="28.8">
      <c r="A46" s="17" t="s">
        <v>33</v>
      </c>
      <c r="B46" s="18">
        <f>2000+40+125</f>
        <v>2165</v>
      </c>
      <c r="C46" s="18">
        <f>2500+36+191+110+100+215+229+568+262+229+259.6+565+50+390+990+15306</f>
        <v>22000.6</v>
      </c>
      <c r="D46" s="18">
        <f>110+1500+370+390+450+460+457+35+30+516</f>
        <v>4318</v>
      </c>
      <c r="E46" s="18">
        <f>41500+1570</f>
        <v>43070</v>
      </c>
      <c r="F46" s="20">
        <f t="shared" si="2"/>
        <v>71553.600000000006</v>
      </c>
    </row>
    <row r="47" spans="1:6" ht="15" customHeight="1">
      <c r="A47" s="17" t="s">
        <v>2</v>
      </c>
      <c r="B47" s="18">
        <v>1500</v>
      </c>
      <c r="C47" s="18"/>
      <c r="D47" s="18">
        <v>2000</v>
      </c>
      <c r="E47" s="18">
        <v>1450</v>
      </c>
      <c r="F47" s="20">
        <f t="shared" si="2"/>
        <v>4950</v>
      </c>
    </row>
    <row r="48" spans="1:6">
      <c r="A48" s="17" t="s">
        <v>34</v>
      </c>
      <c r="B48" s="18"/>
      <c r="C48" s="18"/>
      <c r="D48" s="18"/>
      <c r="E48" s="18">
        <v>6000</v>
      </c>
      <c r="F48" s="20">
        <f t="shared" si="2"/>
        <v>6000</v>
      </c>
    </row>
    <row r="49" spans="1:6">
      <c r="A49" s="17" t="s">
        <v>104</v>
      </c>
      <c r="B49" s="18">
        <v>1500</v>
      </c>
      <c r="C49" s="18"/>
      <c r="D49" s="18"/>
      <c r="E49" s="18"/>
      <c r="F49" s="20">
        <f t="shared" si="2"/>
        <v>1500</v>
      </c>
    </row>
    <row r="50" spans="1:6">
      <c r="A50" s="17" t="s">
        <v>105</v>
      </c>
      <c r="B50" s="18"/>
      <c r="C50" s="18">
        <v>1000</v>
      </c>
      <c r="D50" s="18"/>
      <c r="E50" s="18"/>
      <c r="F50" s="20">
        <f t="shared" si="2"/>
        <v>1000</v>
      </c>
    </row>
    <row r="51" spans="1:6">
      <c r="A51" s="17" t="s">
        <v>4</v>
      </c>
      <c r="B51" s="18">
        <v>514.5</v>
      </c>
      <c r="C51" s="18">
        <f>980+980+600</f>
        <v>2560</v>
      </c>
      <c r="D51" s="18">
        <f>600+1200+980+980+600</f>
        <v>4360</v>
      </c>
      <c r="E51" s="18"/>
      <c r="F51" s="20">
        <f t="shared" si="2"/>
        <v>7434.5</v>
      </c>
    </row>
    <row r="52" spans="1:6" ht="17.25" customHeight="1">
      <c r="A52" s="17" t="s">
        <v>108</v>
      </c>
      <c r="B52" s="18"/>
      <c r="C52" s="18">
        <f>935+4200+6000</f>
        <v>11135</v>
      </c>
      <c r="D52" s="18">
        <f>1255+596+1360+5000+568+2500</f>
        <v>11279</v>
      </c>
      <c r="E52" s="18"/>
      <c r="F52" s="20">
        <f t="shared" si="2"/>
        <v>22414</v>
      </c>
    </row>
    <row r="53" spans="1:6">
      <c r="A53" s="17" t="s">
        <v>92</v>
      </c>
      <c r="B53" s="18">
        <v>2000</v>
      </c>
      <c r="C53" s="18">
        <f>3000+900</f>
        <v>3900</v>
      </c>
      <c r="D53" s="18"/>
      <c r="E53" s="18"/>
      <c r="F53" s="20">
        <f t="shared" si="2"/>
        <v>5900</v>
      </c>
    </row>
    <row r="54" spans="1:6">
      <c r="A54" s="17" t="s">
        <v>107</v>
      </c>
      <c r="B54" s="18"/>
      <c r="C54" s="18"/>
      <c r="D54" s="18">
        <v>15382</v>
      </c>
      <c r="E54" s="18"/>
      <c r="F54" s="20"/>
    </row>
    <row r="55" spans="1:6">
      <c r="A55" s="22" t="s">
        <v>99</v>
      </c>
      <c r="B55" s="20">
        <f>SUM(B38:B53)</f>
        <v>26282.5</v>
      </c>
      <c r="C55" s="20">
        <f>SUM(C38:C53)</f>
        <v>53279.7</v>
      </c>
      <c r="D55" s="20">
        <f>SUM(D38:D54)</f>
        <v>62988.1</v>
      </c>
      <c r="E55" s="20">
        <f>SUM(E38:E54)</f>
        <v>69421.33</v>
      </c>
      <c r="F55" s="20">
        <f t="shared" si="2"/>
        <v>211971.63</v>
      </c>
    </row>
    <row r="56" spans="1:6" ht="18.75" customHeight="1">
      <c r="A56" s="24" t="s">
        <v>101</v>
      </c>
      <c r="B56" s="20"/>
      <c r="C56" s="18">
        <v>290000</v>
      </c>
      <c r="D56" s="18">
        <v>290000</v>
      </c>
      <c r="E56" s="18"/>
      <c r="F56" s="20">
        <f t="shared" si="2"/>
        <v>580000</v>
      </c>
    </row>
    <row r="57" spans="1:6">
      <c r="A57" s="22" t="s">
        <v>100</v>
      </c>
      <c r="B57" s="20">
        <f>B36+B55</f>
        <v>391482.5</v>
      </c>
      <c r="C57" s="20">
        <f>C36+C55+C56</f>
        <v>698259.7</v>
      </c>
      <c r="D57" s="20">
        <f>D36+D55+D56</f>
        <v>709748.1</v>
      </c>
      <c r="E57" s="20">
        <f>E36+E55</f>
        <v>439181.33</v>
      </c>
      <c r="F57" s="20">
        <f t="shared" si="2"/>
        <v>2238671.63</v>
      </c>
    </row>
    <row r="58" spans="1:6">
      <c r="A58" s="41" t="s">
        <v>95</v>
      </c>
      <c r="B58" s="41"/>
      <c r="C58" s="41"/>
      <c r="D58" s="41"/>
      <c r="E58" s="41"/>
      <c r="F58" s="41"/>
    </row>
    <row r="59" spans="1:6">
      <c r="A59" s="19" t="s">
        <v>96</v>
      </c>
      <c r="B59" s="16">
        <f>B15-B34</f>
        <v>8926.1800000000512</v>
      </c>
      <c r="C59" s="16">
        <f>C15-C34</f>
        <v>11730.600000000093</v>
      </c>
      <c r="D59" s="16">
        <f>D15-D34</f>
        <v>8780.8900000001304</v>
      </c>
      <c r="E59" s="16">
        <f>E15-E14-E34+E32</f>
        <v>1158.6699999999255</v>
      </c>
      <c r="F59" s="16">
        <f>E59</f>
        <v>1158.6699999999255</v>
      </c>
    </row>
    <row r="60" spans="1:6">
      <c r="A60" s="19" t="s">
        <v>114</v>
      </c>
      <c r="B60" s="16"/>
      <c r="C60" s="16"/>
      <c r="D60" s="16"/>
      <c r="E60" s="16">
        <f>E14-E32</f>
        <v>95200</v>
      </c>
      <c r="F60" s="16">
        <f t="shared" ref="F60:F62" si="3">E60</f>
        <v>95200</v>
      </c>
    </row>
    <row r="61" spans="1:6">
      <c r="A61" s="19" t="s">
        <v>115</v>
      </c>
      <c r="B61" s="16"/>
      <c r="C61" s="16"/>
      <c r="D61" s="16"/>
      <c r="E61" s="16">
        <f>E59+E60</f>
        <v>96358.669999999925</v>
      </c>
      <c r="F61" s="16">
        <f t="shared" si="3"/>
        <v>96358.669999999925</v>
      </c>
    </row>
    <row r="62" spans="1:6">
      <c r="A62" s="19" t="s">
        <v>97</v>
      </c>
      <c r="B62" s="16">
        <f>B16-B57</f>
        <v>292534.6100000001</v>
      </c>
      <c r="C62" s="16">
        <f>C16-C57</f>
        <v>491461.09000000008</v>
      </c>
      <c r="D62" s="16">
        <f>D16-D36-D55-D56</f>
        <v>145095.04000000015</v>
      </c>
      <c r="E62" s="16">
        <f>E16-E11-E14-E57</f>
        <v>143825.81999999989</v>
      </c>
      <c r="F62" s="16">
        <f t="shared" si="3"/>
        <v>143825.81999999989</v>
      </c>
    </row>
    <row r="63" spans="1:6">
      <c r="A63" s="22" t="s">
        <v>123</v>
      </c>
      <c r="B63" s="16"/>
      <c r="C63" s="16"/>
      <c r="D63" s="16"/>
      <c r="E63" s="16"/>
      <c r="F63" s="16">
        <f>F61+F62</f>
        <v>240184.48999999982</v>
      </c>
    </row>
    <row r="65" spans="1:2" ht="28.95" customHeight="1">
      <c r="A65" s="39" t="s">
        <v>124</v>
      </c>
      <c r="B65" s="39"/>
    </row>
  </sheetData>
  <mergeCells count="9">
    <mergeCell ref="A1:F1"/>
    <mergeCell ref="A65:B65"/>
    <mergeCell ref="A35:F35"/>
    <mergeCell ref="A58:F58"/>
    <mergeCell ref="A3:E3"/>
    <mergeCell ref="A4:E4"/>
    <mergeCell ref="A5:E5"/>
    <mergeCell ref="A6:F6"/>
    <mergeCell ref="A17:F17"/>
  </mergeCells>
  <pageMargins left="0" right="0" top="0" bottom="0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28" workbookViewId="0">
      <selection activeCell="H41" sqref="H41"/>
    </sheetView>
  </sheetViews>
  <sheetFormatPr defaultRowHeight="14.4"/>
  <cols>
    <col min="1" max="1" width="4.33203125" customWidth="1"/>
    <col min="2" max="2" width="36.88671875" customWidth="1"/>
    <col min="3" max="3" width="8.44140625" customWidth="1"/>
    <col min="4" max="4" width="10.33203125" customWidth="1"/>
    <col min="5" max="5" width="18.88671875" customWidth="1"/>
    <col min="6" max="6" width="19" customWidth="1"/>
  </cols>
  <sheetData>
    <row r="1" spans="1:6">
      <c r="A1" s="45" t="s">
        <v>165</v>
      </c>
      <c r="B1" s="45"/>
      <c r="C1" s="45"/>
      <c r="D1" s="45"/>
      <c r="E1" s="45"/>
      <c r="F1" s="45"/>
    </row>
    <row r="2" spans="1:6">
      <c r="A2" s="45"/>
      <c r="B2" s="45"/>
      <c r="C2" s="45"/>
      <c r="D2" s="45"/>
      <c r="E2" s="45"/>
      <c r="F2" s="45"/>
    </row>
    <row r="4" spans="1:6" ht="28.8">
      <c r="A4" s="33" t="s">
        <v>5</v>
      </c>
      <c r="B4" s="27" t="s">
        <v>128</v>
      </c>
      <c r="C4" s="27" t="s">
        <v>126</v>
      </c>
      <c r="D4" s="33" t="s">
        <v>129</v>
      </c>
      <c r="E4" s="27" t="s">
        <v>127</v>
      </c>
      <c r="F4" s="27" t="s">
        <v>6</v>
      </c>
    </row>
    <row r="5" spans="1:6" ht="28.8">
      <c r="A5" s="28" t="s">
        <v>125</v>
      </c>
      <c r="B5" s="17" t="s">
        <v>131</v>
      </c>
      <c r="C5" s="29">
        <v>24.5</v>
      </c>
      <c r="D5" s="28" t="s">
        <v>130</v>
      </c>
      <c r="E5" s="21">
        <v>164259.29</v>
      </c>
      <c r="F5" s="21">
        <f>E5*12</f>
        <v>1971111.48</v>
      </c>
    </row>
    <row r="6" spans="1:6">
      <c r="A6" s="44" t="s">
        <v>132</v>
      </c>
      <c r="B6" s="44"/>
      <c r="C6" s="44"/>
      <c r="D6" s="44"/>
      <c r="E6" s="44"/>
      <c r="F6" s="44"/>
    </row>
    <row r="7" spans="1:6">
      <c r="A7" s="28"/>
      <c r="B7" s="29" t="s">
        <v>133</v>
      </c>
      <c r="C7" s="28"/>
      <c r="D7" s="28" t="s">
        <v>130</v>
      </c>
      <c r="E7" s="21"/>
      <c r="F7" s="21">
        <f>E7*12</f>
        <v>0</v>
      </c>
    </row>
    <row r="8" spans="1:6">
      <c r="A8" s="28" t="s">
        <v>125</v>
      </c>
      <c r="B8" s="28" t="s">
        <v>24</v>
      </c>
      <c r="C8" s="28"/>
      <c r="D8" s="28" t="s">
        <v>130</v>
      </c>
      <c r="E8" s="21">
        <v>1666.67</v>
      </c>
      <c r="F8" s="21">
        <f t="shared" ref="F8:F28" si="0">E8*12</f>
        <v>20000.04</v>
      </c>
    </row>
    <row r="9" spans="1:6">
      <c r="A9" s="28" t="s">
        <v>19</v>
      </c>
      <c r="B9" s="28" t="s">
        <v>25</v>
      </c>
      <c r="C9" s="28"/>
      <c r="D9" s="28" t="s">
        <v>130</v>
      </c>
      <c r="E9" s="21">
        <v>250</v>
      </c>
      <c r="F9" s="21">
        <f t="shared" si="0"/>
        <v>3000</v>
      </c>
    </row>
    <row r="10" spans="1:6">
      <c r="A10" s="28" t="s">
        <v>134</v>
      </c>
      <c r="B10" s="28" t="s">
        <v>23</v>
      </c>
      <c r="C10" s="28"/>
      <c r="D10" s="28" t="s">
        <v>130</v>
      </c>
      <c r="E10" s="21">
        <v>417</v>
      </c>
      <c r="F10" s="21">
        <f t="shared" si="0"/>
        <v>5004</v>
      </c>
    </row>
    <row r="11" spans="1:6" ht="43.2">
      <c r="A11" s="28" t="s">
        <v>20</v>
      </c>
      <c r="B11" s="17" t="s">
        <v>135</v>
      </c>
      <c r="C11" s="28"/>
      <c r="D11" s="28" t="s">
        <v>130</v>
      </c>
      <c r="E11" s="21">
        <v>908.34</v>
      </c>
      <c r="F11" s="21">
        <f t="shared" si="0"/>
        <v>10900.08</v>
      </c>
    </row>
    <row r="12" spans="1:6">
      <c r="A12" s="28" t="s">
        <v>54</v>
      </c>
      <c r="B12" s="28" t="s">
        <v>1</v>
      </c>
      <c r="C12" s="28"/>
      <c r="D12" s="28" t="s">
        <v>130</v>
      </c>
      <c r="E12" s="21">
        <v>1000</v>
      </c>
      <c r="F12" s="21">
        <f t="shared" si="0"/>
        <v>12000</v>
      </c>
    </row>
    <row r="13" spans="1:6">
      <c r="A13" s="28" t="s">
        <v>60</v>
      </c>
      <c r="B13" s="28" t="s">
        <v>4</v>
      </c>
      <c r="C13" s="28"/>
      <c r="D13" s="28" t="s">
        <v>130</v>
      </c>
      <c r="E13" s="21">
        <v>500</v>
      </c>
      <c r="F13" s="21">
        <f t="shared" si="0"/>
        <v>6000</v>
      </c>
    </row>
    <row r="14" spans="1:6">
      <c r="A14" s="28" t="s">
        <v>136</v>
      </c>
      <c r="B14" s="28" t="s">
        <v>137</v>
      </c>
      <c r="C14" s="28"/>
      <c r="D14" s="28" t="s">
        <v>130</v>
      </c>
      <c r="E14" s="21">
        <v>1666.67</v>
      </c>
      <c r="F14" s="21">
        <f t="shared" si="0"/>
        <v>20000.04</v>
      </c>
    </row>
    <row r="15" spans="1:6">
      <c r="A15" s="28" t="s">
        <v>138</v>
      </c>
      <c r="B15" s="28" t="s">
        <v>30</v>
      </c>
      <c r="C15" s="28"/>
      <c r="D15" s="28" t="s">
        <v>130</v>
      </c>
      <c r="E15" s="21">
        <v>417</v>
      </c>
      <c r="F15" s="21">
        <f t="shared" si="0"/>
        <v>5004</v>
      </c>
    </row>
    <row r="16" spans="1:6">
      <c r="A16" s="28" t="s">
        <v>139</v>
      </c>
      <c r="B16" s="28" t="s">
        <v>2</v>
      </c>
      <c r="C16" s="28"/>
      <c r="D16" s="28" t="s">
        <v>130</v>
      </c>
      <c r="E16" s="21">
        <v>417</v>
      </c>
      <c r="F16" s="21">
        <f t="shared" si="0"/>
        <v>5004</v>
      </c>
    </row>
    <row r="17" spans="1:6">
      <c r="A17" s="28" t="s">
        <v>139</v>
      </c>
      <c r="B17" s="28" t="s">
        <v>119</v>
      </c>
      <c r="C17" s="28"/>
      <c r="D17" s="28" t="s">
        <v>130</v>
      </c>
      <c r="E17" s="21">
        <v>200</v>
      </c>
      <c r="F17" s="21">
        <f t="shared" si="0"/>
        <v>2400</v>
      </c>
    </row>
    <row r="18" spans="1:6" ht="28.8">
      <c r="A18" s="28" t="s">
        <v>140</v>
      </c>
      <c r="B18" s="17" t="s">
        <v>37</v>
      </c>
      <c r="C18" s="28"/>
      <c r="D18" s="28" t="s">
        <v>130</v>
      </c>
      <c r="E18" s="21">
        <v>2458.33</v>
      </c>
      <c r="F18" s="21">
        <f t="shared" si="0"/>
        <v>29499.96</v>
      </c>
    </row>
    <row r="19" spans="1:6" ht="28.8">
      <c r="A19" s="28" t="s">
        <v>141</v>
      </c>
      <c r="B19" s="30" t="s">
        <v>142</v>
      </c>
      <c r="C19" s="28"/>
      <c r="D19" s="28" t="s">
        <v>130</v>
      </c>
      <c r="E19" s="21">
        <v>3000</v>
      </c>
      <c r="F19" s="21">
        <f t="shared" si="0"/>
        <v>36000</v>
      </c>
    </row>
    <row r="20" spans="1:6">
      <c r="A20" s="28" t="s">
        <v>143</v>
      </c>
      <c r="B20" s="28" t="s">
        <v>144</v>
      </c>
      <c r="C20" s="28"/>
      <c r="D20" s="28" t="s">
        <v>130</v>
      </c>
      <c r="E20" s="21">
        <v>5000</v>
      </c>
      <c r="F20" s="21">
        <f t="shared" si="0"/>
        <v>60000</v>
      </c>
    </row>
    <row r="21" spans="1:6">
      <c r="A21" s="28" t="s">
        <v>145</v>
      </c>
      <c r="B21" s="28" t="s">
        <v>32</v>
      </c>
      <c r="C21" s="28"/>
      <c r="D21" s="28" t="s">
        <v>130</v>
      </c>
      <c r="E21" s="21">
        <v>500</v>
      </c>
      <c r="F21" s="21">
        <f t="shared" si="0"/>
        <v>6000</v>
      </c>
    </row>
    <row r="22" spans="1:6">
      <c r="A22" s="28" t="s">
        <v>146</v>
      </c>
      <c r="B22" s="28" t="s">
        <v>31</v>
      </c>
      <c r="C22" s="28"/>
      <c r="D22" s="28" t="s">
        <v>130</v>
      </c>
      <c r="E22" s="21">
        <v>500</v>
      </c>
      <c r="F22" s="21">
        <f t="shared" si="0"/>
        <v>6000</v>
      </c>
    </row>
    <row r="23" spans="1:6">
      <c r="A23" s="28" t="s">
        <v>167</v>
      </c>
      <c r="B23" s="28" t="s">
        <v>168</v>
      </c>
      <c r="C23" s="28"/>
      <c r="D23" s="28" t="s">
        <v>130</v>
      </c>
      <c r="E23" s="21">
        <v>3666.67</v>
      </c>
      <c r="F23" s="21">
        <f t="shared" si="0"/>
        <v>44000.04</v>
      </c>
    </row>
    <row r="24" spans="1:6">
      <c r="A24" s="28"/>
      <c r="B24" s="29" t="s">
        <v>147</v>
      </c>
      <c r="C24" s="28"/>
      <c r="D24" s="28" t="s">
        <v>130</v>
      </c>
      <c r="E24" s="16">
        <f>SUM(E8:E23)</f>
        <v>22567.68</v>
      </c>
      <c r="F24" s="16">
        <f t="shared" si="0"/>
        <v>270812.16000000003</v>
      </c>
    </row>
    <row r="25" spans="1:6">
      <c r="A25" s="28"/>
      <c r="B25" s="29" t="s">
        <v>148</v>
      </c>
      <c r="C25" s="28"/>
      <c r="D25" s="28" t="s">
        <v>130</v>
      </c>
      <c r="E25" s="21"/>
      <c r="F25" s="31">
        <f t="shared" si="0"/>
        <v>0</v>
      </c>
    </row>
    <row r="26" spans="1:6" ht="28.8">
      <c r="A26" s="28" t="s">
        <v>125</v>
      </c>
      <c r="B26" s="17" t="s">
        <v>150</v>
      </c>
      <c r="C26" s="28"/>
      <c r="D26" s="28" t="s">
        <v>130</v>
      </c>
      <c r="E26" s="21">
        <v>1700</v>
      </c>
      <c r="F26" s="21">
        <f t="shared" si="0"/>
        <v>20400</v>
      </c>
    </row>
    <row r="27" spans="1:6">
      <c r="A27" s="28" t="s">
        <v>19</v>
      </c>
      <c r="B27" s="28" t="s">
        <v>149</v>
      </c>
      <c r="C27" s="28"/>
      <c r="D27" s="28" t="s">
        <v>130</v>
      </c>
      <c r="E27" s="21">
        <v>1700</v>
      </c>
      <c r="F27" s="21">
        <f t="shared" si="0"/>
        <v>20400</v>
      </c>
    </row>
    <row r="28" spans="1:6">
      <c r="A28" s="28" t="s">
        <v>134</v>
      </c>
      <c r="B28" s="28" t="s">
        <v>151</v>
      </c>
      <c r="C28" s="28"/>
      <c r="D28" s="28" t="s">
        <v>130</v>
      </c>
      <c r="E28" s="21">
        <v>1700</v>
      </c>
      <c r="F28" s="21">
        <f t="shared" si="0"/>
        <v>20400</v>
      </c>
    </row>
    <row r="29" spans="1:6">
      <c r="A29" s="28"/>
      <c r="B29" s="29" t="s">
        <v>152</v>
      </c>
      <c r="C29" s="28"/>
      <c r="D29" s="28" t="s">
        <v>130</v>
      </c>
      <c r="E29" s="16">
        <f>SUM(E26:E28)</f>
        <v>5100</v>
      </c>
      <c r="F29" s="16">
        <f>SUM(F26:F28)</f>
        <v>61200</v>
      </c>
    </row>
    <row r="30" spans="1:6">
      <c r="A30" s="28"/>
      <c r="B30" s="29" t="s">
        <v>153</v>
      </c>
      <c r="C30" s="28"/>
      <c r="D30" s="28" t="s">
        <v>130</v>
      </c>
      <c r="E30" s="16">
        <f>E24+E29</f>
        <v>27667.68</v>
      </c>
      <c r="F30" s="16">
        <f>F24+F29</f>
        <v>332012.16000000003</v>
      </c>
    </row>
    <row r="31" spans="1:6">
      <c r="A31" s="28"/>
      <c r="B31" s="29" t="s">
        <v>154</v>
      </c>
      <c r="C31" s="16">
        <v>4</v>
      </c>
      <c r="D31" s="28" t="s">
        <v>130</v>
      </c>
      <c r="E31" s="21"/>
      <c r="F31" s="21"/>
    </row>
    <row r="32" spans="1:6">
      <c r="A32" s="28"/>
      <c r="B32" s="28"/>
      <c r="C32" s="21"/>
      <c r="D32" s="28"/>
      <c r="E32" s="21"/>
      <c r="F32" s="21"/>
    </row>
    <row r="33" spans="1:6">
      <c r="B33" s="25" t="s">
        <v>155</v>
      </c>
      <c r="C33" s="15"/>
      <c r="E33" s="15"/>
      <c r="F33" s="15"/>
    </row>
    <row r="34" spans="1:6">
      <c r="A34" s="28" t="s">
        <v>125</v>
      </c>
      <c r="B34" s="32" t="s">
        <v>34</v>
      </c>
      <c r="C34" s="21"/>
      <c r="D34" s="28" t="s">
        <v>184</v>
      </c>
      <c r="E34" s="21">
        <v>10560</v>
      </c>
      <c r="F34" s="21">
        <f>E34*12</f>
        <v>126720</v>
      </c>
    </row>
    <row r="35" spans="1:6">
      <c r="A35" s="28" t="s">
        <v>19</v>
      </c>
      <c r="B35" s="32" t="s">
        <v>156</v>
      </c>
      <c r="C35" s="21"/>
      <c r="D35" s="28" t="s">
        <v>185</v>
      </c>
      <c r="E35" s="21">
        <v>8213</v>
      </c>
      <c r="F35" s="21">
        <f t="shared" ref="F35:F37" si="1">E35*12</f>
        <v>98556</v>
      </c>
    </row>
    <row r="36" spans="1:6">
      <c r="A36" s="28"/>
      <c r="B36" s="29" t="s">
        <v>157</v>
      </c>
      <c r="C36" s="16">
        <v>6.6</v>
      </c>
      <c r="D36" s="28" t="s">
        <v>130</v>
      </c>
      <c r="E36" s="21">
        <v>49000</v>
      </c>
      <c r="F36" s="21">
        <f t="shared" si="1"/>
        <v>588000</v>
      </c>
    </row>
    <row r="37" spans="1:6">
      <c r="B37" s="25" t="s">
        <v>158</v>
      </c>
      <c r="C37" s="15"/>
      <c r="E37" s="15"/>
      <c r="F37" s="15">
        <f t="shared" si="1"/>
        <v>0</v>
      </c>
    </row>
    <row r="38" spans="1:6">
      <c r="A38" s="28" t="s">
        <v>125</v>
      </c>
      <c r="B38" s="32" t="s">
        <v>57</v>
      </c>
      <c r="C38" s="21"/>
      <c r="D38" s="28" t="s">
        <v>130</v>
      </c>
      <c r="E38" s="15" t="s">
        <v>159</v>
      </c>
      <c r="F38" s="15"/>
    </row>
    <row r="39" spans="1:6">
      <c r="A39" s="28" t="s">
        <v>19</v>
      </c>
      <c r="B39" s="32" t="s">
        <v>58</v>
      </c>
      <c r="C39" s="21"/>
      <c r="D39" s="28" t="s">
        <v>130</v>
      </c>
      <c r="E39" s="15" t="s">
        <v>160</v>
      </c>
      <c r="F39" s="15"/>
    </row>
    <row r="40" spans="1:6">
      <c r="A40" s="28" t="s">
        <v>134</v>
      </c>
      <c r="B40" s="32" t="s">
        <v>161</v>
      </c>
      <c r="C40" s="21"/>
      <c r="D40" s="28" t="s">
        <v>130</v>
      </c>
      <c r="E40" s="15"/>
      <c r="F40" s="15"/>
    </row>
    <row r="41" spans="1:6">
      <c r="C41" s="15"/>
      <c r="E41" s="15"/>
      <c r="F41" s="15"/>
    </row>
    <row r="42" spans="1:6">
      <c r="A42" s="25" t="s">
        <v>163</v>
      </c>
      <c r="B42" s="25"/>
      <c r="C42" s="26"/>
      <c r="D42" s="25"/>
      <c r="E42" s="26"/>
      <c r="F42" s="26"/>
    </row>
    <row r="43" spans="1:6">
      <c r="A43" s="25" t="s">
        <v>164</v>
      </c>
      <c r="B43" s="25"/>
      <c r="C43" s="26"/>
      <c r="D43" s="25"/>
      <c r="E43" s="26"/>
      <c r="F43" s="26"/>
    </row>
    <row r="44" spans="1:6">
      <c r="E44" s="15"/>
      <c r="F44" s="15"/>
    </row>
    <row r="46" spans="1:6">
      <c r="B46" s="25" t="s">
        <v>162</v>
      </c>
    </row>
  </sheetData>
  <mergeCells count="2">
    <mergeCell ref="A6:F6"/>
    <mergeCell ref="A1:F2"/>
  </mergeCells>
  <pageMargins left="0" right="0" top="0.15748031496062992" bottom="0.19685039370078741" header="0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2015-01-29T08:43:52Z</cp:lastPrinted>
  <dcterms:created xsi:type="dcterms:W3CDTF">2013-09-19T00:45:09Z</dcterms:created>
  <dcterms:modified xsi:type="dcterms:W3CDTF">2015-01-29T08:54:59Z</dcterms:modified>
</cp:coreProperties>
</file>